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.xml" ContentType="application/vnd.openxmlformats-officedocument.themeOverrid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2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3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4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4.xml" ContentType="application/vnd.openxmlformats-officedocument.themeOverride+xml"/>
  <Override PartName="/xl/drawings/drawing17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8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9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0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1.xml" ContentType="application/vnd.openxmlformats-officedocument.drawing+xml"/>
  <Override PartName="/xl/embeddings/oleObject1.bin" ContentType="application/vnd.openxmlformats-officedocument.oleObject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2.xml" ContentType="application/vnd.openxmlformats-officedocument.drawing+xml"/>
  <Override PartName="/xl/embeddings/oleObject2.bin" ContentType="application/vnd.openxmlformats-officedocument.oleObject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3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4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/>
  <mc:AlternateContent xmlns:mc="http://schemas.openxmlformats.org/markup-compatibility/2006">
    <mc:Choice Requires="x15">
      <x15ac:absPath xmlns:x15ac="http://schemas.microsoft.com/office/spreadsheetml/2010/11/ac" url="https://scitovation.sharepoint.com/Shared Documents/TKI_SAP/"/>
    </mc:Choice>
  </mc:AlternateContent>
  <bookViews>
    <workbookView xWindow="0" yWindow="0" windowWidth="28800" windowHeight="12195" tabRatio="669" firstSheet="16" activeTab="27"/>
  </bookViews>
  <sheets>
    <sheet name="BW" sheetId="88" r:id="rId1"/>
    <sheet name="BH" sheetId="73" r:id="rId2"/>
    <sheet name="BSA" sheetId="19" r:id="rId3"/>
    <sheet name="BMI " sheetId="59" r:id="rId4"/>
    <sheet name="HCT" sheetId="17" r:id="rId5"/>
    <sheet name="Pulmonary parameters (Female)" sheetId="95" r:id="rId6"/>
    <sheet name="Drinking Water" sheetId="84" r:id="rId7"/>
    <sheet name="Brain Vol" sheetId="18" r:id="rId8"/>
    <sheet name="Fat Vol" sheetId="43" r:id="rId9"/>
    <sheet name="Liver Vol" sheetId="42" r:id="rId10"/>
    <sheet name="Gut vol" sheetId="80" r:id="rId11"/>
    <sheet name="Rap perf tissue Vol" sheetId="85" r:id="rId12"/>
    <sheet name="Plasma Vol" sheetId="60" r:id="rId13"/>
    <sheet name="QC" sheetId="22" r:id="rId14"/>
    <sheet name="Brain flow" sheetId="78" r:id="rId15"/>
    <sheet name="Fat flow" sheetId="77" r:id="rId16"/>
    <sheet name="GUT flow " sheetId="81" r:id="rId17"/>
    <sheet name="Rap perf tissues flow" sheetId="86" r:id="rId18"/>
    <sheet name="Liver flow" sheetId="76" r:id="rId19"/>
    <sheet name="Mean liver weight" sheetId="94" r:id="rId20"/>
    <sheet name="MPPGL" sheetId="96" r:id="rId21"/>
    <sheet name="CYP1A2" sheetId="97" r:id="rId22"/>
    <sheet name="CYP2B6" sheetId="98" r:id="rId23"/>
    <sheet name="CYP2C9" sheetId="99" r:id="rId24"/>
    <sheet name="CYP2C19" sheetId="100" r:id="rId25"/>
    <sheet name="CYP2E1" sheetId="101" r:id="rId26"/>
    <sheet name="UGT1A9" sheetId="102" r:id="rId27"/>
    <sheet name="CL ontogeny-Female" sheetId="103" r:id="rId28"/>
  </sheets>
  <definedNames>
    <definedName name="_xlnm.Print_Area" localSheetId="7">'Brain Vol'!$B$1:$O$39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0" i="103" l="1"/>
  <c r="Q270" i="103"/>
  <c r="L270" i="103"/>
  <c r="M270" i="103"/>
  <c r="N270" i="103"/>
  <c r="O270" i="103"/>
  <c r="S258" i="103"/>
  <c r="Q258" i="103"/>
  <c r="O258" i="103"/>
  <c r="L258" i="103"/>
  <c r="M258" i="103" s="1"/>
  <c r="N258" i="103"/>
  <c r="S246" i="103"/>
  <c r="Q246" i="103"/>
  <c r="L246" i="103"/>
  <c r="M246" i="103"/>
  <c r="N246" i="103"/>
  <c r="O246" i="103"/>
  <c r="S234" i="103"/>
  <c r="Q234" i="103"/>
  <c r="L234" i="103"/>
  <c r="M234" i="103"/>
  <c r="N234" i="103"/>
  <c r="O234" i="103"/>
  <c r="S222" i="103"/>
  <c r="Q222" i="103"/>
  <c r="L222" i="103"/>
  <c r="M222" i="103" s="1"/>
  <c r="O222" i="103" s="1"/>
  <c r="N222" i="103"/>
  <c r="S210" i="103"/>
  <c r="Q210" i="103"/>
  <c r="L210" i="103"/>
  <c r="M210" i="103"/>
  <c r="N210" i="103"/>
  <c r="O210" i="103"/>
  <c r="S198" i="103"/>
  <c r="Q198" i="103"/>
  <c r="L198" i="103"/>
  <c r="M198" i="103"/>
  <c r="N198" i="103"/>
  <c r="O198" i="103"/>
  <c r="S186" i="103"/>
  <c r="Q186" i="103"/>
  <c r="L186" i="103"/>
  <c r="M186" i="103"/>
  <c r="N186" i="103"/>
  <c r="O186" i="103"/>
  <c r="S174" i="103"/>
  <c r="Q174" i="103"/>
  <c r="L174" i="103"/>
  <c r="M174" i="103"/>
  <c r="N174" i="103"/>
  <c r="O174" i="103"/>
  <c r="S163" i="103"/>
  <c r="Q163" i="103"/>
  <c r="L163" i="103"/>
  <c r="M163" i="103"/>
  <c r="N163" i="103"/>
  <c r="O163" i="103"/>
  <c r="S152" i="103"/>
  <c r="Q152" i="103"/>
  <c r="L152" i="103"/>
  <c r="M152" i="103" s="1"/>
  <c r="O152" i="103" s="1"/>
  <c r="N152" i="103"/>
  <c r="L140" i="103"/>
  <c r="M140" i="103"/>
  <c r="N140" i="103"/>
  <c r="O140" i="103"/>
  <c r="S129" i="103"/>
  <c r="Q129" i="103"/>
  <c r="L129" i="103"/>
  <c r="M129" i="103"/>
  <c r="N129" i="103"/>
  <c r="O129" i="103"/>
  <c r="S118" i="103"/>
  <c r="Q118" i="103"/>
  <c r="L118" i="103"/>
  <c r="M118" i="103" s="1"/>
  <c r="O118" i="103" s="1"/>
  <c r="N118" i="103"/>
  <c r="S106" i="103"/>
  <c r="Q106" i="103"/>
  <c r="L106" i="103"/>
  <c r="M106" i="103"/>
  <c r="N106" i="103"/>
  <c r="O106" i="103"/>
  <c r="S94" i="103"/>
  <c r="Q94" i="103"/>
  <c r="L94" i="103"/>
  <c r="M94" i="103" s="1"/>
  <c r="O94" i="103" s="1"/>
  <c r="N94" i="103"/>
  <c r="S83" i="103"/>
  <c r="Q83" i="103"/>
  <c r="L83" i="103"/>
  <c r="M83" i="103"/>
  <c r="N83" i="103"/>
  <c r="O83" i="103"/>
  <c r="N71" i="103"/>
  <c r="S59" i="103"/>
  <c r="Q59" i="103"/>
  <c r="L59" i="103"/>
  <c r="M59" i="103" s="1"/>
  <c r="O59" i="103" s="1"/>
  <c r="N59" i="103"/>
  <c r="S48" i="103"/>
  <c r="Q48" i="103"/>
  <c r="L48" i="103"/>
  <c r="M48" i="103" s="1"/>
  <c r="O48" i="103" s="1"/>
  <c r="N48" i="103"/>
  <c r="S37" i="103"/>
  <c r="Q37" i="103"/>
  <c r="L37" i="103"/>
  <c r="M37" i="103"/>
  <c r="N37" i="103"/>
  <c r="O37" i="103"/>
  <c r="N273" i="103" l="1"/>
  <c r="L273" i="103"/>
  <c r="M273" i="103" s="1"/>
  <c r="O273" i="103" s="1"/>
  <c r="J270" i="103"/>
  <c r="N269" i="103"/>
  <c r="J269" i="103"/>
  <c r="L269" i="103" s="1"/>
  <c r="M269" i="103" s="1"/>
  <c r="O269" i="103" s="1"/>
  <c r="N268" i="103"/>
  <c r="M268" i="103"/>
  <c r="O268" i="103" s="1"/>
  <c r="L268" i="103"/>
  <c r="J268" i="103"/>
  <c r="N267" i="103"/>
  <c r="J267" i="103"/>
  <c r="L267" i="103" s="1"/>
  <c r="M267" i="103" s="1"/>
  <c r="O267" i="103" s="1"/>
  <c r="N266" i="103"/>
  <c r="J266" i="103"/>
  <c r="L266" i="103" s="1"/>
  <c r="M266" i="103" s="1"/>
  <c r="O266" i="103" s="1"/>
  <c r="N261" i="103"/>
  <c r="L261" i="103"/>
  <c r="M261" i="103" s="1"/>
  <c r="O261" i="103" s="1"/>
  <c r="J258" i="103"/>
  <c r="N257" i="103"/>
  <c r="J257" i="103"/>
  <c r="L257" i="103" s="1"/>
  <c r="M257" i="103" s="1"/>
  <c r="O257" i="103" s="1"/>
  <c r="N256" i="103"/>
  <c r="J256" i="103"/>
  <c r="L256" i="103" s="1"/>
  <c r="M256" i="103" s="1"/>
  <c r="O256" i="103" s="1"/>
  <c r="N255" i="103"/>
  <c r="J255" i="103"/>
  <c r="L255" i="103" s="1"/>
  <c r="M255" i="103" s="1"/>
  <c r="O255" i="103" s="1"/>
  <c r="N254" i="103"/>
  <c r="J254" i="103"/>
  <c r="L254" i="103" s="1"/>
  <c r="M254" i="103" s="1"/>
  <c r="O254" i="103" s="1"/>
  <c r="N249" i="103"/>
  <c r="O249" i="103" s="1"/>
  <c r="L249" i="103"/>
  <c r="M249" i="103" s="1"/>
  <c r="J246" i="103"/>
  <c r="N245" i="103"/>
  <c r="J245" i="103"/>
  <c r="L245" i="103" s="1"/>
  <c r="M245" i="103" s="1"/>
  <c r="O245" i="103" s="1"/>
  <c r="N244" i="103"/>
  <c r="L244" i="103"/>
  <c r="M244" i="103" s="1"/>
  <c r="O244" i="103" s="1"/>
  <c r="J244" i="103"/>
  <c r="N243" i="103"/>
  <c r="L243" i="103"/>
  <c r="M243" i="103" s="1"/>
  <c r="O243" i="103" s="1"/>
  <c r="J243" i="103"/>
  <c r="N242" i="103"/>
  <c r="J242" i="103"/>
  <c r="L242" i="103" s="1"/>
  <c r="M242" i="103" s="1"/>
  <c r="O242" i="103" s="1"/>
  <c r="N237" i="103"/>
  <c r="L237" i="103"/>
  <c r="M237" i="103" s="1"/>
  <c r="O237" i="103" s="1"/>
  <c r="J234" i="103"/>
  <c r="N233" i="103"/>
  <c r="J233" i="103"/>
  <c r="L233" i="103" s="1"/>
  <c r="M233" i="103" s="1"/>
  <c r="O233" i="103" s="1"/>
  <c r="N232" i="103"/>
  <c r="L232" i="103"/>
  <c r="M232" i="103" s="1"/>
  <c r="O232" i="103" s="1"/>
  <c r="J232" i="103"/>
  <c r="N231" i="103"/>
  <c r="J231" i="103"/>
  <c r="L231" i="103" s="1"/>
  <c r="M231" i="103" s="1"/>
  <c r="O231" i="103" s="1"/>
  <c r="N230" i="103"/>
  <c r="J230" i="103"/>
  <c r="L230" i="103" s="1"/>
  <c r="M230" i="103" s="1"/>
  <c r="O230" i="103" s="1"/>
  <c r="N225" i="103"/>
  <c r="L225" i="103"/>
  <c r="M225" i="103" s="1"/>
  <c r="O225" i="103" s="1"/>
  <c r="J222" i="103"/>
  <c r="N221" i="103"/>
  <c r="J221" i="103"/>
  <c r="L221" i="103" s="1"/>
  <c r="M221" i="103" s="1"/>
  <c r="O221" i="103" s="1"/>
  <c r="N220" i="103"/>
  <c r="J220" i="103"/>
  <c r="L220" i="103" s="1"/>
  <c r="M220" i="103" s="1"/>
  <c r="O220" i="103" s="1"/>
  <c r="O219" i="103"/>
  <c r="N219" i="103"/>
  <c r="J219" i="103"/>
  <c r="L219" i="103" s="1"/>
  <c r="M219" i="103" s="1"/>
  <c r="N218" i="103"/>
  <c r="J218" i="103"/>
  <c r="L218" i="103" s="1"/>
  <c r="M218" i="103" s="1"/>
  <c r="O218" i="103" s="1"/>
  <c r="N213" i="103"/>
  <c r="L213" i="103"/>
  <c r="M213" i="103" s="1"/>
  <c r="O213" i="103" s="1"/>
  <c r="J210" i="103"/>
  <c r="O209" i="103"/>
  <c r="N209" i="103"/>
  <c r="J209" i="103"/>
  <c r="L209" i="103" s="1"/>
  <c r="M209" i="103" s="1"/>
  <c r="N208" i="103"/>
  <c r="J208" i="103"/>
  <c r="L208" i="103" s="1"/>
  <c r="M208" i="103" s="1"/>
  <c r="O208" i="103" s="1"/>
  <c r="N207" i="103"/>
  <c r="J207" i="103"/>
  <c r="L207" i="103" s="1"/>
  <c r="M207" i="103" s="1"/>
  <c r="O207" i="103" s="1"/>
  <c r="N206" i="103"/>
  <c r="J206" i="103"/>
  <c r="L206" i="103" s="1"/>
  <c r="M206" i="103" s="1"/>
  <c r="O206" i="103" s="1"/>
  <c r="N201" i="103"/>
  <c r="L201" i="103"/>
  <c r="M201" i="103" s="1"/>
  <c r="O201" i="103" s="1"/>
  <c r="J198" i="103"/>
  <c r="N197" i="103"/>
  <c r="M197" i="103"/>
  <c r="O197" i="103" s="1"/>
  <c r="L197" i="103"/>
  <c r="J197" i="103"/>
  <c r="N196" i="103"/>
  <c r="L196" i="103"/>
  <c r="M196" i="103" s="1"/>
  <c r="O196" i="103" s="1"/>
  <c r="J196" i="103"/>
  <c r="N195" i="103"/>
  <c r="J195" i="103"/>
  <c r="L195" i="103" s="1"/>
  <c r="M195" i="103" s="1"/>
  <c r="O195" i="103" s="1"/>
  <c r="N194" i="103"/>
  <c r="M194" i="103"/>
  <c r="O194" i="103" s="1"/>
  <c r="L194" i="103"/>
  <c r="J194" i="103"/>
  <c r="N189" i="103"/>
  <c r="L189" i="103"/>
  <c r="M189" i="103" s="1"/>
  <c r="O189" i="103" s="1"/>
  <c r="J186" i="103"/>
  <c r="N185" i="103"/>
  <c r="J185" i="103"/>
  <c r="L185" i="103" s="1"/>
  <c r="M185" i="103" s="1"/>
  <c r="O185" i="103" s="1"/>
  <c r="N184" i="103"/>
  <c r="J184" i="103"/>
  <c r="L184" i="103" s="1"/>
  <c r="M184" i="103" s="1"/>
  <c r="O184" i="103" s="1"/>
  <c r="N183" i="103"/>
  <c r="J183" i="103"/>
  <c r="L183" i="103" s="1"/>
  <c r="M183" i="103" s="1"/>
  <c r="O183" i="103" s="1"/>
  <c r="N182" i="103"/>
  <c r="J182" i="103"/>
  <c r="L182" i="103" s="1"/>
  <c r="M182" i="103" s="1"/>
  <c r="O182" i="103" s="1"/>
  <c r="N177" i="103"/>
  <c r="L177" i="103"/>
  <c r="M177" i="103" s="1"/>
  <c r="O177" i="103" s="1"/>
  <c r="J174" i="103"/>
  <c r="N173" i="103"/>
  <c r="J173" i="103"/>
  <c r="L173" i="103" s="1"/>
  <c r="M173" i="103" s="1"/>
  <c r="O173" i="103" s="1"/>
  <c r="N172" i="103"/>
  <c r="L172" i="103"/>
  <c r="M172" i="103" s="1"/>
  <c r="O172" i="103" s="1"/>
  <c r="J172" i="103"/>
  <c r="N171" i="103"/>
  <c r="J171" i="103"/>
  <c r="L171" i="103" s="1"/>
  <c r="M171" i="103" s="1"/>
  <c r="O171" i="103" s="1"/>
  <c r="N170" i="103"/>
  <c r="J170" i="103"/>
  <c r="L170" i="103" s="1"/>
  <c r="M170" i="103" s="1"/>
  <c r="O170" i="103" s="1"/>
  <c r="N166" i="103"/>
  <c r="L166" i="103"/>
  <c r="M166" i="103" s="1"/>
  <c r="O166" i="103" s="1"/>
  <c r="J163" i="103"/>
  <c r="N162" i="103"/>
  <c r="J162" i="103"/>
  <c r="L162" i="103" s="1"/>
  <c r="M162" i="103" s="1"/>
  <c r="O162" i="103" s="1"/>
  <c r="N161" i="103"/>
  <c r="J161" i="103"/>
  <c r="L161" i="103" s="1"/>
  <c r="M161" i="103" s="1"/>
  <c r="O161" i="103" s="1"/>
  <c r="N160" i="103"/>
  <c r="J160" i="103"/>
  <c r="L160" i="103" s="1"/>
  <c r="M160" i="103" s="1"/>
  <c r="O160" i="103" s="1"/>
  <c r="N159" i="103"/>
  <c r="J159" i="103"/>
  <c r="L159" i="103" s="1"/>
  <c r="M159" i="103" s="1"/>
  <c r="O159" i="103" s="1"/>
  <c r="N155" i="103"/>
  <c r="O155" i="103" s="1"/>
  <c r="M155" i="103"/>
  <c r="L155" i="103"/>
  <c r="J152" i="103"/>
  <c r="N151" i="103"/>
  <c r="J151" i="103"/>
  <c r="L151" i="103" s="1"/>
  <c r="M151" i="103" s="1"/>
  <c r="O151" i="103" s="1"/>
  <c r="N150" i="103"/>
  <c r="J150" i="103"/>
  <c r="L150" i="103" s="1"/>
  <c r="M150" i="103" s="1"/>
  <c r="O150" i="103" s="1"/>
  <c r="N149" i="103"/>
  <c r="J149" i="103"/>
  <c r="L149" i="103" s="1"/>
  <c r="M149" i="103" s="1"/>
  <c r="O149" i="103" s="1"/>
  <c r="N148" i="103"/>
  <c r="J148" i="103"/>
  <c r="L148" i="103" s="1"/>
  <c r="M148" i="103" s="1"/>
  <c r="O148" i="103" s="1"/>
  <c r="N143" i="103"/>
  <c r="L143" i="103"/>
  <c r="M143" i="103" s="1"/>
  <c r="O143" i="103" s="1"/>
  <c r="J140" i="103"/>
  <c r="N139" i="103"/>
  <c r="J139" i="103"/>
  <c r="L139" i="103" s="1"/>
  <c r="M139" i="103" s="1"/>
  <c r="O139" i="103" s="1"/>
  <c r="N138" i="103"/>
  <c r="J138" i="103"/>
  <c r="L138" i="103" s="1"/>
  <c r="M138" i="103" s="1"/>
  <c r="O138" i="103" s="1"/>
  <c r="N137" i="103"/>
  <c r="J137" i="103"/>
  <c r="L137" i="103" s="1"/>
  <c r="M137" i="103" s="1"/>
  <c r="O137" i="103" s="1"/>
  <c r="N136" i="103"/>
  <c r="J136" i="103"/>
  <c r="L136" i="103" s="1"/>
  <c r="M136" i="103" s="1"/>
  <c r="O136" i="103" s="1"/>
  <c r="N132" i="103"/>
  <c r="L132" i="103"/>
  <c r="M132" i="103" s="1"/>
  <c r="O132" i="103" s="1"/>
  <c r="J129" i="103"/>
  <c r="N128" i="103"/>
  <c r="M128" i="103"/>
  <c r="O128" i="103" s="1"/>
  <c r="L128" i="103"/>
  <c r="J128" i="103"/>
  <c r="N127" i="103"/>
  <c r="L127" i="103"/>
  <c r="M127" i="103" s="1"/>
  <c r="O127" i="103" s="1"/>
  <c r="J127" i="103"/>
  <c r="N126" i="103"/>
  <c r="J126" i="103"/>
  <c r="L126" i="103" s="1"/>
  <c r="M126" i="103" s="1"/>
  <c r="O126" i="103" s="1"/>
  <c r="N125" i="103"/>
  <c r="M125" i="103"/>
  <c r="O125" i="103" s="1"/>
  <c r="L125" i="103"/>
  <c r="J125" i="103"/>
  <c r="N121" i="103"/>
  <c r="M121" i="103"/>
  <c r="O121" i="103" s="1"/>
  <c r="L121" i="103"/>
  <c r="J118" i="103"/>
  <c r="N117" i="103"/>
  <c r="J117" i="103"/>
  <c r="L117" i="103" s="1"/>
  <c r="M117" i="103" s="1"/>
  <c r="O117" i="103" s="1"/>
  <c r="N116" i="103"/>
  <c r="O116" i="103" s="1"/>
  <c r="J116" i="103"/>
  <c r="L116" i="103" s="1"/>
  <c r="M116" i="103" s="1"/>
  <c r="N115" i="103"/>
  <c r="J115" i="103"/>
  <c r="L115" i="103" s="1"/>
  <c r="M115" i="103" s="1"/>
  <c r="O115" i="103" s="1"/>
  <c r="N114" i="103"/>
  <c r="J114" i="103"/>
  <c r="L114" i="103" s="1"/>
  <c r="M114" i="103" s="1"/>
  <c r="O114" i="103" s="1"/>
  <c r="N109" i="103"/>
  <c r="O109" i="103" s="1"/>
  <c r="L109" i="103"/>
  <c r="M109" i="103" s="1"/>
  <c r="J106" i="103"/>
  <c r="N105" i="103"/>
  <c r="J105" i="103"/>
  <c r="L105" i="103" s="1"/>
  <c r="M105" i="103" s="1"/>
  <c r="O105" i="103" s="1"/>
  <c r="N104" i="103"/>
  <c r="L104" i="103"/>
  <c r="M104" i="103" s="1"/>
  <c r="O104" i="103" s="1"/>
  <c r="J104" i="103"/>
  <c r="N103" i="103"/>
  <c r="J103" i="103"/>
  <c r="L103" i="103" s="1"/>
  <c r="M103" i="103" s="1"/>
  <c r="O103" i="103" s="1"/>
  <c r="N102" i="103"/>
  <c r="J102" i="103"/>
  <c r="L102" i="103" s="1"/>
  <c r="M102" i="103" s="1"/>
  <c r="O102" i="103" s="1"/>
  <c r="N97" i="103"/>
  <c r="L97" i="103"/>
  <c r="M97" i="103" s="1"/>
  <c r="O97" i="103" s="1"/>
  <c r="J94" i="103"/>
  <c r="N93" i="103"/>
  <c r="J93" i="103"/>
  <c r="L93" i="103" s="1"/>
  <c r="M93" i="103" s="1"/>
  <c r="O93" i="103" s="1"/>
  <c r="N92" i="103"/>
  <c r="J92" i="103"/>
  <c r="L92" i="103" s="1"/>
  <c r="M92" i="103" s="1"/>
  <c r="O92" i="103" s="1"/>
  <c r="N91" i="103"/>
  <c r="J91" i="103"/>
  <c r="L91" i="103" s="1"/>
  <c r="M91" i="103" s="1"/>
  <c r="O91" i="103" s="1"/>
  <c r="N90" i="103"/>
  <c r="L90" i="103"/>
  <c r="M90" i="103" s="1"/>
  <c r="O90" i="103" s="1"/>
  <c r="J90" i="103"/>
  <c r="N86" i="103"/>
  <c r="L86" i="103"/>
  <c r="M86" i="103" s="1"/>
  <c r="O86" i="103" s="1"/>
  <c r="J83" i="103"/>
  <c r="N82" i="103"/>
  <c r="J82" i="103"/>
  <c r="L82" i="103" s="1"/>
  <c r="M82" i="103" s="1"/>
  <c r="O82" i="103" s="1"/>
  <c r="N81" i="103"/>
  <c r="J81" i="103"/>
  <c r="L81" i="103" s="1"/>
  <c r="M81" i="103" s="1"/>
  <c r="O81" i="103" s="1"/>
  <c r="N80" i="103"/>
  <c r="J80" i="103"/>
  <c r="L80" i="103" s="1"/>
  <c r="M80" i="103" s="1"/>
  <c r="O80" i="103" s="1"/>
  <c r="N79" i="103"/>
  <c r="J79" i="103"/>
  <c r="L79" i="103" s="1"/>
  <c r="M79" i="103" s="1"/>
  <c r="O79" i="103" s="1"/>
  <c r="N74" i="103"/>
  <c r="L74" i="103"/>
  <c r="M74" i="103" s="1"/>
  <c r="O74" i="103" s="1"/>
  <c r="J71" i="103"/>
  <c r="L71" i="103" s="1"/>
  <c r="M71" i="103" s="1"/>
  <c r="O71" i="103" s="1"/>
  <c r="Q71" i="103" s="1"/>
  <c r="S71" i="103" s="1"/>
  <c r="O70" i="103"/>
  <c r="N70" i="103"/>
  <c r="J70" i="103"/>
  <c r="L70" i="103" s="1"/>
  <c r="M70" i="103" s="1"/>
  <c r="N69" i="103"/>
  <c r="J69" i="103"/>
  <c r="L69" i="103" s="1"/>
  <c r="M69" i="103" s="1"/>
  <c r="O69" i="103" s="1"/>
  <c r="N68" i="103"/>
  <c r="M68" i="103"/>
  <c r="O68" i="103" s="1"/>
  <c r="L68" i="103"/>
  <c r="J68" i="103"/>
  <c r="N67" i="103"/>
  <c r="J67" i="103"/>
  <c r="L67" i="103" s="1"/>
  <c r="M67" i="103" s="1"/>
  <c r="O67" i="103" s="1"/>
  <c r="N62" i="103"/>
  <c r="L62" i="103"/>
  <c r="M62" i="103" s="1"/>
  <c r="O62" i="103" s="1"/>
  <c r="J59" i="103"/>
  <c r="N58" i="103"/>
  <c r="M58" i="103"/>
  <c r="O58" i="103" s="1"/>
  <c r="L58" i="103"/>
  <c r="J58" i="103"/>
  <c r="N57" i="103"/>
  <c r="L57" i="103"/>
  <c r="M57" i="103" s="1"/>
  <c r="O57" i="103" s="1"/>
  <c r="J57" i="103"/>
  <c r="O56" i="103"/>
  <c r="N56" i="103"/>
  <c r="J56" i="103"/>
  <c r="L56" i="103" s="1"/>
  <c r="M56" i="103" s="1"/>
  <c r="N55" i="103"/>
  <c r="M55" i="103"/>
  <c r="O55" i="103" s="1"/>
  <c r="L55" i="103"/>
  <c r="J55" i="103"/>
  <c r="N51" i="103"/>
  <c r="M51" i="103"/>
  <c r="O51" i="103" s="1"/>
  <c r="L51" i="103"/>
  <c r="J48" i="103"/>
  <c r="O47" i="103"/>
  <c r="N47" i="103"/>
  <c r="J47" i="103"/>
  <c r="L47" i="103" s="1"/>
  <c r="M47" i="103" s="1"/>
  <c r="N46" i="103"/>
  <c r="J46" i="103"/>
  <c r="L46" i="103" s="1"/>
  <c r="M46" i="103" s="1"/>
  <c r="O46" i="103" s="1"/>
  <c r="N45" i="103"/>
  <c r="J45" i="103"/>
  <c r="L45" i="103" s="1"/>
  <c r="M45" i="103" s="1"/>
  <c r="O45" i="103" s="1"/>
  <c r="N44" i="103"/>
  <c r="J44" i="103"/>
  <c r="L44" i="103" s="1"/>
  <c r="M44" i="103" s="1"/>
  <c r="O44" i="103" s="1"/>
  <c r="O40" i="103"/>
  <c r="N40" i="103"/>
  <c r="L40" i="103"/>
  <c r="M40" i="103" s="1"/>
  <c r="J37" i="103"/>
  <c r="N36" i="103"/>
  <c r="M36" i="103"/>
  <c r="O36" i="103" s="1"/>
  <c r="L36" i="103"/>
  <c r="J36" i="103"/>
  <c r="N35" i="103"/>
  <c r="M35" i="103"/>
  <c r="O35" i="103" s="1"/>
  <c r="L35" i="103"/>
  <c r="J35" i="103"/>
  <c r="N34" i="103"/>
  <c r="L34" i="103"/>
  <c r="M34" i="103" s="1"/>
  <c r="O34" i="103" s="1"/>
  <c r="J34" i="103"/>
  <c r="N33" i="103"/>
  <c r="J33" i="103"/>
  <c r="L33" i="103" s="1"/>
  <c r="M33" i="103" s="1"/>
  <c r="O33" i="103" s="1"/>
  <c r="N29" i="103"/>
  <c r="L29" i="103"/>
  <c r="M29" i="103" s="1"/>
  <c r="O29" i="103" s="1"/>
  <c r="N26" i="103"/>
  <c r="L26" i="103"/>
  <c r="M26" i="103" s="1"/>
  <c r="O26" i="103" s="1"/>
  <c r="J26" i="103"/>
  <c r="N25" i="103"/>
  <c r="J25" i="103"/>
  <c r="L25" i="103" s="1"/>
  <c r="M25" i="103" s="1"/>
  <c r="O25" i="103" s="1"/>
  <c r="N24" i="103"/>
  <c r="O24" i="103" s="1"/>
  <c r="J24" i="103"/>
  <c r="L24" i="103" s="1"/>
  <c r="M24" i="103" s="1"/>
  <c r="N23" i="103"/>
  <c r="L23" i="103"/>
  <c r="M23" i="103" s="1"/>
  <c r="O23" i="103" s="1"/>
  <c r="J23" i="103"/>
  <c r="N22" i="103"/>
  <c r="L22" i="103"/>
  <c r="M22" i="103" s="1"/>
  <c r="O22" i="103" s="1"/>
  <c r="J22" i="103"/>
  <c r="E74" i="102"/>
  <c r="E73" i="102"/>
  <c r="E72" i="102"/>
  <c r="E71" i="102"/>
  <c r="E70" i="102"/>
  <c r="E69" i="102"/>
  <c r="E68" i="102"/>
  <c r="E67" i="102"/>
  <c r="E66" i="102"/>
  <c r="E65" i="102"/>
  <c r="E64" i="102"/>
  <c r="E63" i="102"/>
  <c r="E62" i="102"/>
  <c r="E61" i="102"/>
  <c r="E60" i="102"/>
  <c r="E59" i="102"/>
  <c r="E58" i="102"/>
  <c r="E57" i="102"/>
  <c r="E56" i="102"/>
  <c r="E55" i="102"/>
  <c r="E54" i="102"/>
  <c r="E53" i="102"/>
  <c r="E52" i="102"/>
  <c r="E51" i="102"/>
  <c r="E50" i="102"/>
  <c r="E49" i="102"/>
  <c r="E48" i="102"/>
  <c r="E47" i="102"/>
  <c r="E46" i="102"/>
  <c r="E45" i="102"/>
  <c r="E44" i="102"/>
  <c r="E43" i="102"/>
  <c r="E42" i="102"/>
  <c r="E41" i="102"/>
  <c r="E40" i="102"/>
  <c r="E39" i="102"/>
  <c r="E38" i="102"/>
  <c r="E37" i="102"/>
  <c r="E36" i="102"/>
  <c r="E35" i="102"/>
  <c r="E34" i="102"/>
  <c r="E33" i="102"/>
  <c r="E32" i="102"/>
  <c r="E31" i="102"/>
  <c r="E30" i="102"/>
  <c r="E29" i="102"/>
  <c r="E28" i="102"/>
  <c r="E27" i="102"/>
  <c r="E26" i="102"/>
  <c r="E25" i="102"/>
  <c r="E24" i="102"/>
  <c r="E23" i="102"/>
  <c r="E22" i="102"/>
  <c r="E21" i="102"/>
  <c r="E20" i="102"/>
  <c r="E19" i="102"/>
  <c r="E18" i="102"/>
  <c r="E17" i="102"/>
  <c r="E16" i="102"/>
  <c r="E15" i="102"/>
  <c r="E14" i="102"/>
  <c r="E13" i="102"/>
  <c r="E12" i="102"/>
  <c r="E11" i="102"/>
  <c r="E10" i="102"/>
  <c r="E9" i="102"/>
  <c r="D74" i="101"/>
  <c r="E74" i="101" s="1"/>
  <c r="D73" i="101"/>
  <c r="E73" i="101" s="1"/>
  <c r="E72" i="101"/>
  <c r="D72" i="101"/>
  <c r="D71" i="101"/>
  <c r="E71" i="101" s="1"/>
  <c r="D70" i="101"/>
  <c r="E70" i="101" s="1"/>
  <c r="D69" i="101"/>
  <c r="E69" i="101" s="1"/>
  <c r="D68" i="101"/>
  <c r="E68" i="101" s="1"/>
  <c r="D67" i="101"/>
  <c r="E67" i="101" s="1"/>
  <c r="E66" i="101"/>
  <c r="D66" i="101"/>
  <c r="D65" i="101"/>
  <c r="E65" i="101" s="1"/>
  <c r="D64" i="101"/>
  <c r="E64" i="101" s="1"/>
  <c r="D63" i="101"/>
  <c r="E63" i="101" s="1"/>
  <c r="D62" i="101"/>
  <c r="E62" i="101" s="1"/>
  <c r="D61" i="101"/>
  <c r="E61" i="101" s="1"/>
  <c r="E60" i="101"/>
  <c r="D60" i="101"/>
  <c r="D59" i="101"/>
  <c r="E59" i="101" s="1"/>
  <c r="D58" i="101"/>
  <c r="E58" i="101" s="1"/>
  <c r="D57" i="101"/>
  <c r="E57" i="101" s="1"/>
  <c r="D56" i="101"/>
  <c r="E56" i="101" s="1"/>
  <c r="D55" i="101"/>
  <c r="E55" i="101" s="1"/>
  <c r="E54" i="101"/>
  <c r="D54" i="101"/>
  <c r="D53" i="101"/>
  <c r="E53" i="101" s="1"/>
  <c r="D52" i="101"/>
  <c r="E52" i="101" s="1"/>
  <c r="D51" i="101"/>
  <c r="E51" i="101" s="1"/>
  <c r="D50" i="101"/>
  <c r="E50" i="101" s="1"/>
  <c r="D49" i="101"/>
  <c r="E49" i="101" s="1"/>
  <c r="E48" i="101"/>
  <c r="D48" i="101"/>
  <c r="D47" i="101"/>
  <c r="E47" i="101" s="1"/>
  <c r="D46" i="101"/>
  <c r="E46" i="101" s="1"/>
  <c r="D45" i="101"/>
  <c r="E45" i="101" s="1"/>
  <c r="D44" i="101"/>
  <c r="E44" i="101" s="1"/>
  <c r="D43" i="101"/>
  <c r="E43" i="101" s="1"/>
  <c r="E42" i="101"/>
  <c r="D42" i="101"/>
  <c r="D41" i="101"/>
  <c r="E41" i="101" s="1"/>
  <c r="D40" i="101"/>
  <c r="E40" i="101" s="1"/>
  <c r="D39" i="101"/>
  <c r="E39" i="101" s="1"/>
  <c r="D38" i="101"/>
  <c r="E38" i="101" s="1"/>
  <c r="D37" i="101"/>
  <c r="E37" i="101" s="1"/>
  <c r="E36" i="101"/>
  <c r="D36" i="101"/>
  <c r="D35" i="101"/>
  <c r="E35" i="101" s="1"/>
  <c r="D34" i="101"/>
  <c r="E34" i="101" s="1"/>
  <c r="D33" i="101"/>
  <c r="E33" i="101" s="1"/>
  <c r="D32" i="101"/>
  <c r="E32" i="101" s="1"/>
  <c r="D31" i="101"/>
  <c r="E31" i="101" s="1"/>
  <c r="E30" i="101"/>
  <c r="D30" i="101"/>
  <c r="D29" i="101"/>
  <c r="E29" i="101" s="1"/>
  <c r="D28" i="101"/>
  <c r="E28" i="101" s="1"/>
  <c r="D27" i="101"/>
  <c r="E27" i="101" s="1"/>
  <c r="D26" i="101"/>
  <c r="E26" i="101" s="1"/>
  <c r="D25" i="101"/>
  <c r="E25" i="101" s="1"/>
  <c r="E24" i="101"/>
  <c r="D24" i="101"/>
  <c r="D23" i="101"/>
  <c r="E23" i="101" s="1"/>
  <c r="D22" i="101"/>
  <c r="E22" i="101" s="1"/>
  <c r="D21" i="101"/>
  <c r="E21" i="101" s="1"/>
  <c r="D20" i="101"/>
  <c r="E20" i="101" s="1"/>
  <c r="D19" i="101"/>
  <c r="E19" i="101" s="1"/>
  <c r="E18" i="101"/>
  <c r="D18" i="101"/>
  <c r="D17" i="101"/>
  <c r="E17" i="101" s="1"/>
  <c r="D16" i="101"/>
  <c r="E16" i="101" s="1"/>
  <c r="D15" i="101"/>
  <c r="E15" i="101" s="1"/>
  <c r="D14" i="101"/>
  <c r="E14" i="101" s="1"/>
  <c r="D13" i="101"/>
  <c r="E13" i="101" s="1"/>
  <c r="E12" i="101"/>
  <c r="D12" i="101"/>
  <c r="D11" i="101"/>
  <c r="E11" i="101" s="1"/>
  <c r="D10" i="101"/>
  <c r="E10" i="101" s="1"/>
  <c r="D9" i="101"/>
  <c r="E9" i="101" s="1"/>
  <c r="D74" i="100"/>
  <c r="E74" i="100" s="1"/>
  <c r="D73" i="100"/>
  <c r="E73" i="100" s="1"/>
  <c r="E72" i="100"/>
  <c r="D72" i="100"/>
  <c r="D71" i="100"/>
  <c r="E71" i="100" s="1"/>
  <c r="D70" i="100"/>
  <c r="E70" i="100" s="1"/>
  <c r="D69" i="100"/>
  <c r="E69" i="100" s="1"/>
  <c r="D68" i="100"/>
  <c r="E68" i="100" s="1"/>
  <c r="D67" i="100"/>
  <c r="E67" i="100" s="1"/>
  <c r="E66" i="100"/>
  <c r="D66" i="100"/>
  <c r="D65" i="100"/>
  <c r="E65" i="100" s="1"/>
  <c r="D64" i="100"/>
  <c r="E64" i="100" s="1"/>
  <c r="D63" i="100"/>
  <c r="E63" i="100" s="1"/>
  <c r="D62" i="100"/>
  <c r="E62" i="100" s="1"/>
  <c r="D61" i="100"/>
  <c r="E61" i="100" s="1"/>
  <c r="E60" i="100"/>
  <c r="D60" i="100"/>
  <c r="D59" i="100"/>
  <c r="E59" i="100" s="1"/>
  <c r="D58" i="100"/>
  <c r="E58" i="100" s="1"/>
  <c r="D57" i="100"/>
  <c r="E57" i="100" s="1"/>
  <c r="D56" i="100"/>
  <c r="E56" i="100" s="1"/>
  <c r="D55" i="100"/>
  <c r="E55" i="100" s="1"/>
  <c r="E54" i="100"/>
  <c r="D54" i="100"/>
  <c r="D53" i="100"/>
  <c r="E53" i="100" s="1"/>
  <c r="D52" i="100"/>
  <c r="E52" i="100" s="1"/>
  <c r="D51" i="100"/>
  <c r="E51" i="100" s="1"/>
  <c r="D50" i="100"/>
  <c r="E50" i="100" s="1"/>
  <c r="D49" i="100"/>
  <c r="E49" i="100" s="1"/>
  <c r="E48" i="100"/>
  <c r="D48" i="100"/>
  <c r="D47" i="100"/>
  <c r="E47" i="100" s="1"/>
  <c r="D46" i="100"/>
  <c r="E46" i="100" s="1"/>
  <c r="D45" i="100"/>
  <c r="E45" i="100" s="1"/>
  <c r="D44" i="100"/>
  <c r="E44" i="100" s="1"/>
  <c r="D43" i="100"/>
  <c r="E43" i="100" s="1"/>
  <c r="E42" i="100"/>
  <c r="D42" i="100"/>
  <c r="D41" i="100"/>
  <c r="E41" i="100" s="1"/>
  <c r="D40" i="100"/>
  <c r="E40" i="100" s="1"/>
  <c r="D39" i="100"/>
  <c r="E39" i="100" s="1"/>
  <c r="D38" i="100"/>
  <c r="E38" i="100" s="1"/>
  <c r="D37" i="100"/>
  <c r="E37" i="100" s="1"/>
  <c r="E36" i="100"/>
  <c r="D36" i="100"/>
  <c r="D35" i="100"/>
  <c r="E35" i="100" s="1"/>
  <c r="D34" i="100"/>
  <c r="E34" i="100" s="1"/>
  <c r="D33" i="100"/>
  <c r="E33" i="100" s="1"/>
  <c r="D32" i="100"/>
  <c r="E32" i="100" s="1"/>
  <c r="D31" i="100"/>
  <c r="E31" i="100" s="1"/>
  <c r="E30" i="100"/>
  <c r="D30" i="100"/>
  <c r="D29" i="100"/>
  <c r="E29" i="100" s="1"/>
  <c r="D28" i="100"/>
  <c r="E28" i="100" s="1"/>
  <c r="D27" i="100"/>
  <c r="E27" i="100" s="1"/>
  <c r="D26" i="100"/>
  <c r="E26" i="100" s="1"/>
  <c r="D25" i="100"/>
  <c r="E25" i="100" s="1"/>
  <c r="E24" i="100"/>
  <c r="D24" i="100"/>
  <c r="D23" i="100"/>
  <c r="E23" i="100" s="1"/>
  <c r="D22" i="100"/>
  <c r="E22" i="100" s="1"/>
  <c r="D21" i="100"/>
  <c r="E21" i="100" s="1"/>
  <c r="D20" i="100"/>
  <c r="E20" i="100" s="1"/>
  <c r="D19" i="100"/>
  <c r="E19" i="100" s="1"/>
  <c r="E18" i="100"/>
  <c r="D18" i="100"/>
  <c r="D17" i="100"/>
  <c r="E17" i="100" s="1"/>
  <c r="D16" i="100"/>
  <c r="E16" i="100" s="1"/>
  <c r="D15" i="100"/>
  <c r="E15" i="100" s="1"/>
  <c r="D14" i="100"/>
  <c r="E14" i="100" s="1"/>
  <c r="D13" i="100"/>
  <c r="E13" i="100" s="1"/>
  <c r="E12" i="100"/>
  <c r="D12" i="100"/>
  <c r="D11" i="100"/>
  <c r="E11" i="100" s="1"/>
  <c r="D10" i="100"/>
  <c r="E10" i="100" s="1"/>
  <c r="D9" i="100"/>
  <c r="E9" i="100" s="1"/>
  <c r="D74" i="99"/>
  <c r="E74" i="99" s="1"/>
  <c r="E73" i="99"/>
  <c r="D73" i="99"/>
  <c r="D72" i="99"/>
  <c r="E72" i="99" s="1"/>
  <c r="D71" i="99"/>
  <c r="E71" i="99" s="1"/>
  <c r="D70" i="99"/>
  <c r="E70" i="99" s="1"/>
  <c r="D69" i="99"/>
  <c r="E69" i="99" s="1"/>
  <c r="D68" i="99"/>
  <c r="E68" i="99" s="1"/>
  <c r="E67" i="99"/>
  <c r="D67" i="99"/>
  <c r="D66" i="99"/>
  <c r="E66" i="99" s="1"/>
  <c r="D65" i="99"/>
  <c r="E65" i="99" s="1"/>
  <c r="D64" i="99"/>
  <c r="E64" i="99" s="1"/>
  <c r="D63" i="99"/>
  <c r="E63" i="99" s="1"/>
  <c r="D62" i="99"/>
  <c r="E62" i="99" s="1"/>
  <c r="E61" i="99"/>
  <c r="D61" i="99"/>
  <c r="D60" i="99"/>
  <c r="E60" i="99" s="1"/>
  <c r="D59" i="99"/>
  <c r="E59" i="99" s="1"/>
  <c r="D58" i="99"/>
  <c r="E58" i="99" s="1"/>
  <c r="D57" i="99"/>
  <c r="E57" i="99" s="1"/>
  <c r="D56" i="99"/>
  <c r="E56" i="99" s="1"/>
  <c r="E55" i="99"/>
  <c r="D55" i="99"/>
  <c r="D54" i="99"/>
  <c r="E54" i="99" s="1"/>
  <c r="D53" i="99"/>
  <c r="E53" i="99" s="1"/>
  <c r="D52" i="99"/>
  <c r="E52" i="99" s="1"/>
  <c r="D51" i="99"/>
  <c r="E51" i="99" s="1"/>
  <c r="D50" i="99"/>
  <c r="E50" i="99" s="1"/>
  <c r="E49" i="99"/>
  <c r="D49" i="99"/>
  <c r="D48" i="99"/>
  <c r="E48" i="99" s="1"/>
  <c r="D47" i="99"/>
  <c r="E47" i="99" s="1"/>
  <c r="D46" i="99"/>
  <c r="E46" i="99" s="1"/>
  <c r="D45" i="99"/>
  <c r="E45" i="99" s="1"/>
  <c r="D44" i="99"/>
  <c r="E44" i="99" s="1"/>
  <c r="E43" i="99"/>
  <c r="D43" i="99"/>
  <c r="D42" i="99"/>
  <c r="E42" i="99" s="1"/>
  <c r="D41" i="99"/>
  <c r="E41" i="99" s="1"/>
  <c r="D40" i="99"/>
  <c r="E40" i="99" s="1"/>
  <c r="D39" i="99"/>
  <c r="E39" i="99" s="1"/>
  <c r="D38" i="99"/>
  <c r="E38" i="99" s="1"/>
  <c r="E37" i="99"/>
  <c r="D37" i="99"/>
  <c r="D36" i="99"/>
  <c r="E36" i="99" s="1"/>
  <c r="D35" i="99"/>
  <c r="E35" i="99" s="1"/>
  <c r="D34" i="99"/>
  <c r="E34" i="99" s="1"/>
  <c r="D33" i="99"/>
  <c r="E33" i="99" s="1"/>
  <c r="D32" i="99"/>
  <c r="E32" i="99" s="1"/>
  <c r="E31" i="99"/>
  <c r="D31" i="99"/>
  <c r="D30" i="99"/>
  <c r="E30" i="99" s="1"/>
  <c r="D29" i="99"/>
  <c r="E29" i="99" s="1"/>
  <c r="D28" i="99"/>
  <c r="E28" i="99" s="1"/>
  <c r="D27" i="99"/>
  <c r="E27" i="99" s="1"/>
  <c r="D26" i="99"/>
  <c r="E26" i="99" s="1"/>
  <c r="E25" i="99"/>
  <c r="D25" i="99"/>
  <c r="D24" i="99"/>
  <c r="E24" i="99" s="1"/>
  <c r="D23" i="99"/>
  <c r="E23" i="99" s="1"/>
  <c r="D22" i="99"/>
  <c r="E22" i="99" s="1"/>
  <c r="D21" i="99"/>
  <c r="E21" i="99" s="1"/>
  <c r="D20" i="99"/>
  <c r="E20" i="99" s="1"/>
  <c r="E19" i="99"/>
  <c r="D19" i="99"/>
  <c r="D18" i="99"/>
  <c r="E18" i="99" s="1"/>
  <c r="D17" i="99"/>
  <c r="E17" i="99" s="1"/>
  <c r="D16" i="99"/>
  <c r="E16" i="99" s="1"/>
  <c r="D15" i="99"/>
  <c r="E15" i="99" s="1"/>
  <c r="D14" i="99"/>
  <c r="E14" i="99" s="1"/>
  <c r="E13" i="99"/>
  <c r="D13" i="99"/>
  <c r="D12" i="99"/>
  <c r="E12" i="99" s="1"/>
  <c r="D11" i="99"/>
  <c r="E11" i="99" s="1"/>
  <c r="D10" i="99"/>
  <c r="E10" i="99" s="1"/>
  <c r="D9" i="99"/>
  <c r="E9" i="99" s="1"/>
  <c r="D74" i="98"/>
  <c r="E74" i="98" s="1"/>
  <c r="D73" i="98"/>
  <c r="E73" i="98" s="1"/>
  <c r="D72" i="98"/>
  <c r="E72" i="98" s="1"/>
  <c r="D71" i="98"/>
  <c r="E71" i="98" s="1"/>
  <c r="D70" i="98"/>
  <c r="E70" i="98" s="1"/>
  <c r="D69" i="98"/>
  <c r="E69" i="98" s="1"/>
  <c r="D68" i="98"/>
  <c r="E68" i="98" s="1"/>
  <c r="D67" i="98"/>
  <c r="E67" i="98" s="1"/>
  <c r="D66" i="98"/>
  <c r="E66" i="98" s="1"/>
  <c r="D65" i="98"/>
  <c r="E65" i="98" s="1"/>
  <c r="D64" i="98"/>
  <c r="E64" i="98" s="1"/>
  <c r="D63" i="98"/>
  <c r="E63" i="98" s="1"/>
  <c r="D62" i="98"/>
  <c r="E62" i="98" s="1"/>
  <c r="D61" i="98"/>
  <c r="E61" i="98" s="1"/>
  <c r="D60" i="98"/>
  <c r="E60" i="98" s="1"/>
  <c r="D59" i="98"/>
  <c r="E59" i="98" s="1"/>
  <c r="D58" i="98"/>
  <c r="E58" i="98" s="1"/>
  <c r="D57" i="98"/>
  <c r="E57" i="98" s="1"/>
  <c r="D56" i="98"/>
  <c r="E56" i="98" s="1"/>
  <c r="D55" i="98"/>
  <c r="E55" i="98" s="1"/>
  <c r="D54" i="98"/>
  <c r="E54" i="98" s="1"/>
  <c r="D53" i="98"/>
  <c r="E53" i="98" s="1"/>
  <c r="D52" i="98"/>
  <c r="E52" i="98" s="1"/>
  <c r="D51" i="98"/>
  <c r="E51" i="98" s="1"/>
  <c r="D50" i="98"/>
  <c r="E50" i="98" s="1"/>
  <c r="D49" i="98"/>
  <c r="E49" i="98" s="1"/>
  <c r="D48" i="98"/>
  <c r="E48" i="98" s="1"/>
  <c r="D47" i="98"/>
  <c r="E47" i="98" s="1"/>
  <c r="D46" i="98"/>
  <c r="E46" i="98" s="1"/>
  <c r="D45" i="98"/>
  <c r="E45" i="98" s="1"/>
  <c r="D44" i="98"/>
  <c r="E44" i="98" s="1"/>
  <c r="D43" i="98"/>
  <c r="E43" i="98" s="1"/>
  <c r="D42" i="98"/>
  <c r="E42" i="98" s="1"/>
  <c r="D41" i="98"/>
  <c r="E41" i="98" s="1"/>
  <c r="D40" i="98"/>
  <c r="E40" i="98" s="1"/>
  <c r="D39" i="98"/>
  <c r="E39" i="98" s="1"/>
  <c r="D38" i="98"/>
  <c r="E38" i="98" s="1"/>
  <c r="D37" i="98"/>
  <c r="E37" i="98" s="1"/>
  <c r="D36" i="98"/>
  <c r="E36" i="98" s="1"/>
  <c r="D35" i="98"/>
  <c r="E35" i="98" s="1"/>
  <c r="D34" i="98"/>
  <c r="E34" i="98" s="1"/>
  <c r="D33" i="98"/>
  <c r="E33" i="98" s="1"/>
  <c r="D32" i="98"/>
  <c r="E32" i="98" s="1"/>
  <c r="D31" i="98"/>
  <c r="E31" i="98" s="1"/>
  <c r="D30" i="98"/>
  <c r="E30" i="98" s="1"/>
  <c r="D29" i="98"/>
  <c r="E29" i="98" s="1"/>
  <c r="D28" i="98"/>
  <c r="E28" i="98" s="1"/>
  <c r="D27" i="98"/>
  <c r="E27" i="98" s="1"/>
  <c r="D26" i="98"/>
  <c r="E26" i="98" s="1"/>
  <c r="D25" i="98"/>
  <c r="E25" i="98" s="1"/>
  <c r="D24" i="98"/>
  <c r="E24" i="98" s="1"/>
  <c r="D23" i="98"/>
  <c r="E23" i="98" s="1"/>
  <c r="D22" i="98"/>
  <c r="E22" i="98" s="1"/>
  <c r="D21" i="98"/>
  <c r="E21" i="98" s="1"/>
  <c r="D20" i="98"/>
  <c r="E20" i="98" s="1"/>
  <c r="D19" i="98"/>
  <c r="E19" i="98" s="1"/>
  <c r="D18" i="98"/>
  <c r="E18" i="98" s="1"/>
  <c r="D17" i="98"/>
  <c r="E17" i="98" s="1"/>
  <c r="D16" i="98"/>
  <c r="E16" i="98" s="1"/>
  <c r="D15" i="98"/>
  <c r="E15" i="98" s="1"/>
  <c r="D14" i="98"/>
  <c r="E14" i="98" s="1"/>
  <c r="D13" i="98"/>
  <c r="E13" i="98" s="1"/>
  <c r="D12" i="98"/>
  <c r="E12" i="98" s="1"/>
  <c r="D11" i="98"/>
  <c r="E11" i="98" s="1"/>
  <c r="D10" i="98"/>
  <c r="E10" i="98" s="1"/>
  <c r="D9" i="98"/>
  <c r="E9" i="98" s="1"/>
  <c r="E74" i="97"/>
  <c r="D74" i="97"/>
  <c r="D73" i="97"/>
  <c r="E73" i="97" s="1"/>
  <c r="D72" i="97"/>
  <c r="E72" i="97" s="1"/>
  <c r="D71" i="97"/>
  <c r="E71" i="97" s="1"/>
  <c r="D70" i="97"/>
  <c r="E70" i="97" s="1"/>
  <c r="D69" i="97"/>
  <c r="E69" i="97" s="1"/>
  <c r="E68" i="97"/>
  <c r="D68" i="97"/>
  <c r="D67" i="97"/>
  <c r="E67" i="97" s="1"/>
  <c r="D66" i="97"/>
  <c r="E66" i="97" s="1"/>
  <c r="D65" i="97"/>
  <c r="E65" i="97" s="1"/>
  <c r="D64" i="97"/>
  <c r="E64" i="97" s="1"/>
  <c r="D63" i="97"/>
  <c r="E63" i="97" s="1"/>
  <c r="E62" i="97"/>
  <c r="D62" i="97"/>
  <c r="D61" i="97"/>
  <c r="E61" i="97" s="1"/>
  <c r="D60" i="97"/>
  <c r="E60" i="97" s="1"/>
  <c r="D59" i="97"/>
  <c r="E59" i="97" s="1"/>
  <c r="D58" i="97"/>
  <c r="E58" i="97" s="1"/>
  <c r="D57" i="97"/>
  <c r="E57" i="97" s="1"/>
  <c r="E56" i="97"/>
  <c r="D56" i="97"/>
  <c r="D55" i="97"/>
  <c r="E55" i="97" s="1"/>
  <c r="D54" i="97"/>
  <c r="E54" i="97" s="1"/>
  <c r="D53" i="97"/>
  <c r="E53" i="97" s="1"/>
  <c r="D52" i="97"/>
  <c r="E52" i="97" s="1"/>
  <c r="D51" i="97"/>
  <c r="E51" i="97" s="1"/>
  <c r="E50" i="97"/>
  <c r="D50" i="97"/>
  <c r="D49" i="97"/>
  <c r="E49" i="97" s="1"/>
  <c r="D48" i="97"/>
  <c r="E48" i="97" s="1"/>
  <c r="D47" i="97"/>
  <c r="E47" i="97" s="1"/>
  <c r="D46" i="97"/>
  <c r="E46" i="97" s="1"/>
  <c r="D45" i="97"/>
  <c r="E45" i="97" s="1"/>
  <c r="E44" i="97"/>
  <c r="D44" i="97"/>
  <c r="D43" i="97"/>
  <c r="E43" i="97" s="1"/>
  <c r="D42" i="97"/>
  <c r="E42" i="97" s="1"/>
  <c r="D41" i="97"/>
  <c r="E41" i="97" s="1"/>
  <c r="D40" i="97"/>
  <c r="E40" i="97" s="1"/>
  <c r="D39" i="97"/>
  <c r="E39" i="97" s="1"/>
  <c r="E38" i="97"/>
  <c r="D38" i="97"/>
  <c r="D37" i="97"/>
  <c r="E37" i="97" s="1"/>
  <c r="D36" i="97"/>
  <c r="E36" i="97" s="1"/>
  <c r="D35" i="97"/>
  <c r="E35" i="97" s="1"/>
  <c r="D34" i="97"/>
  <c r="E34" i="97" s="1"/>
  <c r="D33" i="97"/>
  <c r="E33" i="97" s="1"/>
  <c r="E32" i="97"/>
  <c r="D32" i="97"/>
  <c r="D31" i="97"/>
  <c r="E31" i="97" s="1"/>
  <c r="D30" i="97"/>
  <c r="E30" i="97" s="1"/>
  <c r="D29" i="97"/>
  <c r="E29" i="97" s="1"/>
  <c r="D28" i="97"/>
  <c r="E28" i="97" s="1"/>
  <c r="D27" i="97"/>
  <c r="E27" i="97" s="1"/>
  <c r="E26" i="97"/>
  <c r="D26" i="97"/>
  <c r="D25" i="97"/>
  <c r="E25" i="97" s="1"/>
  <c r="D24" i="97"/>
  <c r="E24" i="97" s="1"/>
  <c r="D23" i="97"/>
  <c r="E23" i="97" s="1"/>
  <c r="D22" i="97"/>
  <c r="E22" i="97" s="1"/>
  <c r="D21" i="97"/>
  <c r="E21" i="97" s="1"/>
  <c r="E20" i="97"/>
  <c r="D20" i="97"/>
  <c r="D19" i="97"/>
  <c r="E19" i="97" s="1"/>
  <c r="D18" i="97"/>
  <c r="E18" i="97" s="1"/>
  <c r="D17" i="97"/>
  <c r="E17" i="97" s="1"/>
  <c r="D16" i="97"/>
  <c r="E16" i="97" s="1"/>
  <c r="D15" i="97"/>
  <c r="E15" i="97" s="1"/>
  <c r="E14" i="97"/>
  <c r="D14" i="97"/>
  <c r="D13" i="97"/>
  <c r="E13" i="97" s="1"/>
  <c r="D12" i="97"/>
  <c r="E12" i="97" s="1"/>
  <c r="D11" i="97"/>
  <c r="E11" i="97" s="1"/>
  <c r="D10" i="97"/>
  <c r="E10" i="97" s="1"/>
  <c r="D9" i="97"/>
  <c r="E9" i="97" s="1"/>
  <c r="Q26" i="103" l="1"/>
  <c r="S26" i="103" s="1"/>
  <c r="P79" i="103"/>
  <c r="P182" i="103"/>
  <c r="P148" i="103"/>
  <c r="Q149" i="103" s="1"/>
  <c r="P159" i="103"/>
  <c r="P67" i="103"/>
  <c r="P33" i="103"/>
  <c r="Q33" i="103" s="1"/>
  <c r="P90" i="103"/>
  <c r="Q103" i="103"/>
  <c r="P136" i="103"/>
  <c r="Q139" i="103"/>
  <c r="P114" i="103"/>
  <c r="Q128" i="103" s="1"/>
  <c r="P44" i="103"/>
  <c r="Q102" i="103" s="1"/>
  <c r="P206" i="103"/>
  <c r="P218" i="103"/>
  <c r="P230" i="103"/>
  <c r="Q115" i="103"/>
  <c r="P170" i="103"/>
  <c r="P125" i="103"/>
  <c r="Q121" i="103"/>
  <c r="P254" i="103"/>
  <c r="P194" i="103"/>
  <c r="P266" i="103"/>
  <c r="P55" i="103"/>
  <c r="P242" i="103"/>
  <c r="P22" i="103"/>
  <c r="Q24" i="103" s="1"/>
  <c r="S24" i="103" s="1"/>
  <c r="P102" i="103"/>
  <c r="Q225" i="103"/>
  <c r="G38" i="95"/>
  <c r="Q249" i="103" l="1"/>
  <c r="Q137" i="103"/>
  <c r="Q140" i="103"/>
  <c r="Q194" i="103"/>
  <c r="Q232" i="103"/>
  <c r="Q245" i="103"/>
  <c r="Q151" i="103"/>
  <c r="Q114" i="103"/>
  <c r="Q44" i="103"/>
  <c r="Q105" i="103"/>
  <c r="Q97" i="103"/>
  <c r="Q69" i="103"/>
  <c r="Q58" i="103"/>
  <c r="Q56" i="103"/>
  <c r="Q70" i="103"/>
  <c r="Q148" i="103"/>
  <c r="Q243" i="103"/>
  <c r="Q195" i="103"/>
  <c r="Q92" i="103"/>
  <c r="Q213" i="103"/>
  <c r="Q104" i="103"/>
  <c r="Q244" i="103"/>
  <c r="Q90" i="103"/>
  <c r="Q91" i="103"/>
  <c r="Q208" i="103"/>
  <c r="Q196" i="103"/>
  <c r="Q256" i="103"/>
  <c r="Q201" i="103"/>
  <c r="Q23" i="103"/>
  <c r="S23" i="103" s="1"/>
  <c r="Q116" i="103"/>
  <c r="Q219" i="103"/>
  <c r="Q35" i="103"/>
  <c r="Q55" i="103"/>
  <c r="Q132" i="103"/>
  <c r="Q197" i="103"/>
  <c r="Q36" i="103"/>
  <c r="Q268" i="103"/>
  <c r="Q81" i="103"/>
  <c r="Q189" i="103"/>
  <c r="Q221" i="103"/>
  <c r="Q80" i="103"/>
  <c r="Q162" i="103"/>
  <c r="Q138" i="103"/>
  <c r="Q255" i="103"/>
  <c r="Q171" i="103"/>
  <c r="Q182" i="103"/>
  <c r="Q25" i="103"/>
  <c r="S25" i="103" s="1"/>
  <c r="Q46" i="103"/>
  <c r="Q266" i="103"/>
  <c r="Q218" i="103"/>
  <c r="Q126" i="103"/>
  <c r="Q93" i="103"/>
  <c r="Q220" i="103"/>
  <c r="Q242" i="103"/>
  <c r="Q170" i="103"/>
  <c r="Q86" i="103"/>
  <c r="Q143" i="103"/>
  <c r="Q51" i="103"/>
  <c r="Q237" i="103"/>
  <c r="Q79" i="103"/>
  <c r="Q82" i="103"/>
  <c r="Q45" i="103"/>
  <c r="Q34" i="103"/>
  <c r="Q155" i="103"/>
  <c r="Q269" i="103"/>
  <c r="Q29" i="103"/>
  <c r="S29" i="103" s="1"/>
  <c r="Q230" i="103"/>
  <c r="Q67" i="103"/>
  <c r="Q172" i="103"/>
  <c r="Q125" i="103"/>
  <c r="Q150" i="103"/>
  <c r="Q57" i="103"/>
  <c r="Q261" i="103"/>
  <c r="Q127" i="103"/>
  <c r="Q68" i="103"/>
  <c r="Q257" i="103"/>
  <c r="Q47" i="103"/>
  <c r="Q206" i="103"/>
  <c r="Q177" i="103"/>
  <c r="Q40" i="103"/>
  <c r="Q233" i="103"/>
  <c r="Q184" i="103"/>
  <c r="Q117" i="103"/>
  <c r="Q231" i="103"/>
  <c r="Q22" i="103"/>
  <c r="Q183" i="103"/>
  <c r="Q136" i="103"/>
  <c r="Q62" i="103"/>
  <c r="Q161" i="103"/>
  <c r="Q209" i="103"/>
  <c r="Q207" i="103"/>
  <c r="Q254" i="103"/>
  <c r="Q273" i="103"/>
  <c r="Q185" i="103"/>
  <c r="Q173" i="103"/>
  <c r="Q267" i="103"/>
  <c r="Q160" i="103"/>
  <c r="Q166" i="103"/>
  <c r="Q159" i="103"/>
  <c r="Q109" i="103"/>
  <c r="Q74" i="103"/>
  <c r="D22" i="17"/>
  <c r="S22" i="103" l="1"/>
  <c r="T22" i="103" s="1"/>
  <c r="Q30" i="103"/>
  <c r="Q41" i="103"/>
  <c r="D23" i="76"/>
  <c r="F23" i="76" s="1"/>
  <c r="S32" i="95"/>
  <c r="S25" i="95"/>
  <c r="S21" i="95"/>
  <c r="O32" i="95"/>
  <c r="O25" i="95"/>
  <c r="O21" i="95"/>
  <c r="K32" i="95"/>
  <c r="K25" i="95"/>
  <c r="K21" i="95"/>
  <c r="G21" i="95"/>
  <c r="G32" i="95"/>
  <c r="G25" i="95"/>
  <c r="C21" i="95"/>
  <c r="C32" i="95"/>
  <c r="C25" i="95"/>
  <c r="R230" i="103" l="1"/>
  <c r="R159" i="103"/>
  <c r="R90" i="103"/>
  <c r="R218" i="103"/>
  <c r="R148" i="103"/>
  <c r="S140" i="103" s="1"/>
  <c r="R79" i="103"/>
  <c r="R206" i="103"/>
  <c r="R136" i="103"/>
  <c r="R254" i="103"/>
  <c r="R182" i="103"/>
  <c r="R114" i="103"/>
  <c r="R44" i="103"/>
  <c r="R242" i="103"/>
  <c r="R170" i="103"/>
  <c r="R102" i="103"/>
  <c r="R33" i="103"/>
  <c r="R194" i="103"/>
  <c r="R266" i="103"/>
  <c r="R125" i="103"/>
  <c r="R67" i="103"/>
  <c r="R55" i="103"/>
  <c r="H23" i="76"/>
  <c r="I23" i="76" s="1"/>
  <c r="D22" i="96"/>
  <c r="E22" i="96" s="1"/>
  <c r="D15" i="96"/>
  <c r="E15" i="96" s="1"/>
  <c r="D11" i="96"/>
  <c r="E11" i="96" s="1"/>
  <c r="D72" i="96"/>
  <c r="E72" i="96" s="1"/>
  <c r="D71" i="96"/>
  <c r="E71" i="96" s="1"/>
  <c r="D70" i="96"/>
  <c r="E70" i="96" s="1"/>
  <c r="D69" i="96"/>
  <c r="E69" i="96" s="1"/>
  <c r="D68" i="96"/>
  <c r="E68" i="96" s="1"/>
  <c r="D67" i="96"/>
  <c r="E67" i="96" s="1"/>
  <c r="D66" i="96"/>
  <c r="E66" i="96" s="1"/>
  <c r="D65" i="96"/>
  <c r="E65" i="96" s="1"/>
  <c r="D64" i="96"/>
  <c r="E64" i="96" s="1"/>
  <c r="D63" i="96"/>
  <c r="E63" i="96" s="1"/>
  <c r="D62" i="96"/>
  <c r="E62" i="96" s="1"/>
  <c r="D61" i="96"/>
  <c r="E61" i="96" s="1"/>
  <c r="D60" i="96"/>
  <c r="E60" i="96" s="1"/>
  <c r="D59" i="96"/>
  <c r="E59" i="96" s="1"/>
  <c r="D58" i="96"/>
  <c r="E58" i="96" s="1"/>
  <c r="D57" i="96"/>
  <c r="E57" i="96" s="1"/>
  <c r="D56" i="96"/>
  <c r="E56" i="96" s="1"/>
  <c r="D55" i="96"/>
  <c r="E55" i="96" s="1"/>
  <c r="D54" i="96"/>
  <c r="E54" i="96" s="1"/>
  <c r="D53" i="96"/>
  <c r="E53" i="96" s="1"/>
  <c r="D52" i="96"/>
  <c r="E52" i="96" s="1"/>
  <c r="D51" i="96"/>
  <c r="E51" i="96" s="1"/>
  <c r="D50" i="96"/>
  <c r="E50" i="96" s="1"/>
  <c r="D49" i="96"/>
  <c r="E49" i="96" s="1"/>
  <c r="D48" i="96"/>
  <c r="E48" i="96" s="1"/>
  <c r="D47" i="96"/>
  <c r="E47" i="96" s="1"/>
  <c r="D46" i="96"/>
  <c r="E46" i="96" s="1"/>
  <c r="D45" i="96"/>
  <c r="E45" i="96" s="1"/>
  <c r="D44" i="96"/>
  <c r="E44" i="96" s="1"/>
  <c r="D43" i="96"/>
  <c r="E43" i="96" s="1"/>
  <c r="D42" i="96"/>
  <c r="E42" i="96" s="1"/>
  <c r="D41" i="96"/>
  <c r="E41" i="96" s="1"/>
  <c r="D40" i="96"/>
  <c r="E40" i="96" s="1"/>
  <c r="D39" i="96"/>
  <c r="E39" i="96" s="1"/>
  <c r="D38" i="96"/>
  <c r="E38" i="96" s="1"/>
  <c r="D37" i="96"/>
  <c r="E37" i="96" s="1"/>
  <c r="D36" i="96"/>
  <c r="E36" i="96" s="1"/>
  <c r="D35" i="96"/>
  <c r="E35" i="96" s="1"/>
  <c r="D34" i="96"/>
  <c r="E34" i="96" s="1"/>
  <c r="D33" i="96"/>
  <c r="E33" i="96" s="1"/>
  <c r="D32" i="96"/>
  <c r="E32" i="96" s="1"/>
  <c r="D31" i="96"/>
  <c r="E31" i="96" s="1"/>
  <c r="D30" i="96"/>
  <c r="E30" i="96" s="1"/>
  <c r="D29" i="96"/>
  <c r="E29" i="96" s="1"/>
  <c r="D28" i="96"/>
  <c r="E28" i="96" s="1"/>
  <c r="D27" i="96"/>
  <c r="E27" i="96" s="1"/>
  <c r="D26" i="96"/>
  <c r="E26" i="96" s="1"/>
  <c r="D25" i="96"/>
  <c r="E25" i="96" s="1"/>
  <c r="D24" i="96"/>
  <c r="E24" i="96" s="1"/>
  <c r="D23" i="96"/>
  <c r="E23" i="96" s="1"/>
  <c r="D21" i="96"/>
  <c r="E21" i="96" s="1"/>
  <c r="D20" i="96"/>
  <c r="E20" i="96" s="1"/>
  <c r="D19" i="96"/>
  <c r="E19" i="96" s="1"/>
  <c r="D18" i="96"/>
  <c r="E18" i="96" s="1"/>
  <c r="D17" i="96"/>
  <c r="E17" i="96" s="1"/>
  <c r="D16" i="96"/>
  <c r="E16" i="96" s="1"/>
  <c r="D14" i="96"/>
  <c r="E14" i="96" s="1"/>
  <c r="D13" i="96"/>
  <c r="E13" i="96" s="1"/>
  <c r="D12" i="96"/>
  <c r="E12" i="96" s="1"/>
  <c r="D10" i="96"/>
  <c r="E10" i="96" s="1"/>
  <c r="D9" i="96"/>
  <c r="E9" i="96" s="1"/>
  <c r="D8" i="96"/>
  <c r="E8" i="96" s="1"/>
  <c r="S225" i="103" l="1"/>
  <c r="S139" i="103"/>
  <c r="S245" i="103"/>
  <c r="S151" i="103"/>
  <c r="S137" i="103"/>
  <c r="S194" i="103"/>
  <c r="S249" i="103"/>
  <c r="S232" i="103"/>
  <c r="S149" i="103"/>
  <c r="S136" i="103"/>
  <c r="S221" i="103"/>
  <c r="S207" i="103"/>
  <c r="S182" i="103"/>
  <c r="S255" i="103"/>
  <c r="S162" i="103"/>
  <c r="S195" i="103"/>
  <c r="S161" i="103"/>
  <c r="S257" i="103"/>
  <c r="S244" i="103"/>
  <c r="S206" i="103"/>
  <c r="S189" i="103"/>
  <c r="S256" i="103"/>
  <c r="S268" i="103"/>
  <c r="S155" i="103"/>
  <c r="S173" i="103"/>
  <c r="S201" i="103"/>
  <c r="S138" i="103"/>
  <c r="S159" i="103"/>
  <c r="S143" i="103"/>
  <c r="S184" i="103"/>
  <c r="S261" i="103"/>
  <c r="S196" i="103"/>
  <c r="S269" i="103"/>
  <c r="S209" i="103"/>
  <c r="S177" i="103"/>
  <c r="S231" i="103"/>
  <c r="S166" i="103"/>
  <c r="S170" i="103"/>
  <c r="S150" i="103"/>
  <c r="S242" i="103"/>
  <c r="S160" i="103"/>
  <c r="S218" i="103"/>
  <c r="S183" i="103"/>
  <c r="S171" i="103"/>
  <c r="S273" i="103"/>
  <c r="S254" i="103"/>
  <c r="T254" i="103" s="1"/>
  <c r="S197" i="103"/>
  <c r="S185" i="103"/>
  <c r="S233" i="103"/>
  <c r="S230" i="103"/>
  <c r="S172" i="103"/>
  <c r="S267" i="103"/>
  <c r="S148" i="103"/>
  <c r="S243" i="103"/>
  <c r="S220" i="103"/>
  <c r="S219" i="103"/>
  <c r="S237" i="103"/>
  <c r="S208" i="103"/>
  <c r="S266" i="103"/>
  <c r="T266" i="103" s="1"/>
  <c r="S213" i="103"/>
  <c r="S69" i="103"/>
  <c r="S105" i="103"/>
  <c r="S56" i="103"/>
  <c r="S97" i="103"/>
  <c r="S44" i="103"/>
  <c r="S58" i="103"/>
  <c r="S70" i="103"/>
  <c r="S102" i="103"/>
  <c r="S103" i="103"/>
  <c r="S68" i="103"/>
  <c r="S86" i="103"/>
  <c r="S91" i="103"/>
  <c r="S92" i="103"/>
  <c r="S90" i="103"/>
  <c r="S74" i="103"/>
  <c r="S62" i="103"/>
  <c r="S67" i="103"/>
  <c r="S57" i="103"/>
  <c r="S47" i="103"/>
  <c r="S45" i="103"/>
  <c r="S55" i="103"/>
  <c r="S109" i="103"/>
  <c r="S104" i="103"/>
  <c r="S80" i="103"/>
  <c r="S51" i="103"/>
  <c r="S93" i="103"/>
  <c r="S79" i="103"/>
  <c r="S46" i="103"/>
  <c r="S82" i="103"/>
  <c r="S81" i="103"/>
  <c r="S128" i="103"/>
  <c r="S115" i="103"/>
  <c r="S114" i="103"/>
  <c r="S121" i="103"/>
  <c r="S132" i="103"/>
  <c r="S117" i="103"/>
  <c r="S125" i="103"/>
  <c r="S127" i="103"/>
  <c r="S126" i="103"/>
  <c r="S116" i="103"/>
  <c r="S33" i="103"/>
  <c r="S40" i="103"/>
  <c r="S34" i="103"/>
  <c r="S35" i="103"/>
  <c r="S36" i="103"/>
  <c r="E20" i="94"/>
  <c r="E13" i="94"/>
  <c r="E8" i="94"/>
  <c r="E9" i="94"/>
  <c r="D16" i="76"/>
  <c r="F16" i="76" s="1"/>
  <c r="D11" i="76"/>
  <c r="H11" i="76" s="1"/>
  <c r="D12" i="76"/>
  <c r="F12" i="76" s="1"/>
  <c r="D23" i="86"/>
  <c r="F23" i="86" s="1"/>
  <c r="D16" i="86"/>
  <c r="F16" i="86" s="1"/>
  <c r="D11" i="86"/>
  <c r="D12" i="86"/>
  <c r="F12" i="86" s="1"/>
  <c r="D16" i="81"/>
  <c r="F16" i="81" s="1"/>
  <c r="D11" i="81"/>
  <c r="F11" i="81" s="1"/>
  <c r="D12" i="81"/>
  <c r="F12" i="81" s="1"/>
  <c r="D17" i="77"/>
  <c r="D13" i="77"/>
  <c r="F13" i="77" s="1"/>
  <c r="D24" i="77"/>
  <c r="F24" i="77" s="1"/>
  <c r="D18" i="78"/>
  <c r="F18" i="78" s="1"/>
  <c r="D14" i="78"/>
  <c r="F14" i="78" s="1"/>
  <c r="D25" i="78"/>
  <c r="F25" i="78" s="1"/>
  <c r="E16" i="22"/>
  <c r="F16" i="22" s="1"/>
  <c r="G16" i="22" s="1"/>
  <c r="E12" i="22"/>
  <c r="F12" i="22" s="1"/>
  <c r="G12" i="22" s="1"/>
  <c r="E23" i="22"/>
  <c r="F23" i="22" s="1"/>
  <c r="G23" i="22" s="1"/>
  <c r="E20" i="60"/>
  <c r="G20" i="60" s="1"/>
  <c r="H20" i="60" s="1"/>
  <c r="I20" i="60" s="1"/>
  <c r="E13" i="60"/>
  <c r="G13" i="60" s="1"/>
  <c r="H13" i="60" s="1"/>
  <c r="I13" i="60" s="1"/>
  <c r="E9" i="60"/>
  <c r="G9" i="60" s="1"/>
  <c r="H9" i="60" s="1"/>
  <c r="I9" i="60" s="1"/>
  <c r="E20" i="85"/>
  <c r="F20" i="85" s="1"/>
  <c r="E9" i="85"/>
  <c r="F9" i="85" s="1"/>
  <c r="E13" i="85"/>
  <c r="F13" i="85" s="1"/>
  <c r="E9" i="80"/>
  <c r="F9" i="80" s="1"/>
  <c r="G9" i="80" s="1"/>
  <c r="E13" i="80"/>
  <c r="E19" i="80"/>
  <c r="F19" i="80" s="1"/>
  <c r="G19" i="80" s="1"/>
  <c r="E20" i="80"/>
  <c r="F20" i="80" s="1"/>
  <c r="G20" i="80" s="1"/>
  <c r="E24" i="42"/>
  <c r="G24" i="42" s="1"/>
  <c r="E25" i="42"/>
  <c r="G25" i="42" s="1"/>
  <c r="E18" i="42"/>
  <c r="G18" i="42" s="1"/>
  <c r="E14" i="42"/>
  <c r="G14" i="42" s="1"/>
  <c r="F23" i="43"/>
  <c r="G23" i="43" s="1"/>
  <c r="H23" i="43" s="1"/>
  <c r="F16" i="43"/>
  <c r="G16" i="43" s="1"/>
  <c r="H16" i="43" s="1"/>
  <c r="F12" i="43"/>
  <c r="G12" i="43" s="1"/>
  <c r="H12" i="43" s="1"/>
  <c r="C10" i="18"/>
  <c r="E10" i="18" s="1"/>
  <c r="C21" i="18"/>
  <c r="E21" i="18" s="1"/>
  <c r="C14" i="18"/>
  <c r="E14" i="18" s="1"/>
  <c r="S82" i="95"/>
  <c r="S19" i="95"/>
  <c r="S20" i="95"/>
  <c r="S22" i="95"/>
  <c r="S23" i="95"/>
  <c r="S24" i="95"/>
  <c r="S26" i="95"/>
  <c r="S27" i="95"/>
  <c r="S28" i="95"/>
  <c r="S29" i="95"/>
  <c r="S30" i="95"/>
  <c r="S31" i="95"/>
  <c r="S33" i="95"/>
  <c r="S34" i="95"/>
  <c r="S35" i="95"/>
  <c r="S36" i="95"/>
  <c r="S37" i="95"/>
  <c r="S38" i="95"/>
  <c r="S39" i="95"/>
  <c r="S40" i="95"/>
  <c r="S41" i="95"/>
  <c r="S42" i="95"/>
  <c r="S43" i="95"/>
  <c r="S44" i="95"/>
  <c r="S45" i="95"/>
  <c r="S46" i="95"/>
  <c r="S47" i="95"/>
  <c r="S48" i="95"/>
  <c r="S49" i="95"/>
  <c r="S50" i="95"/>
  <c r="S51" i="95"/>
  <c r="S52" i="95"/>
  <c r="S53" i="95"/>
  <c r="S54" i="95"/>
  <c r="S55" i="95"/>
  <c r="S56" i="95"/>
  <c r="S57" i="95"/>
  <c r="S58" i="95"/>
  <c r="S59" i="95"/>
  <c r="S60" i="95"/>
  <c r="S61" i="95"/>
  <c r="S62" i="95"/>
  <c r="S63" i="95"/>
  <c r="S64" i="95"/>
  <c r="S65" i="95"/>
  <c r="S66" i="95"/>
  <c r="S67" i="95"/>
  <c r="S68" i="95"/>
  <c r="S69" i="95"/>
  <c r="S70" i="95"/>
  <c r="S71" i="95"/>
  <c r="S72" i="95"/>
  <c r="S73" i="95"/>
  <c r="S74" i="95"/>
  <c r="S75" i="95"/>
  <c r="S76" i="95"/>
  <c r="S77" i="95"/>
  <c r="S78" i="95"/>
  <c r="S79" i="95"/>
  <c r="S80" i="95"/>
  <c r="S81" i="95"/>
  <c r="S18" i="95"/>
  <c r="O19" i="95"/>
  <c r="O20" i="95"/>
  <c r="O22" i="95"/>
  <c r="O23" i="95"/>
  <c r="O24" i="95"/>
  <c r="O26" i="95"/>
  <c r="O27" i="95"/>
  <c r="O28" i="95"/>
  <c r="O29" i="95"/>
  <c r="O30" i="95"/>
  <c r="O31" i="95"/>
  <c r="O33" i="95"/>
  <c r="O34" i="95"/>
  <c r="O35" i="95"/>
  <c r="O36" i="95"/>
  <c r="O37" i="95"/>
  <c r="O38" i="95"/>
  <c r="O39" i="95"/>
  <c r="O40" i="95"/>
  <c r="O41" i="95"/>
  <c r="O42" i="95"/>
  <c r="O43" i="95"/>
  <c r="O44" i="95"/>
  <c r="O45" i="95"/>
  <c r="O46" i="95"/>
  <c r="O47" i="95"/>
  <c r="O48" i="95"/>
  <c r="O49" i="95"/>
  <c r="O50" i="95"/>
  <c r="O51" i="95"/>
  <c r="O52" i="95"/>
  <c r="O53" i="95"/>
  <c r="O54" i="95"/>
  <c r="O55" i="95"/>
  <c r="O56" i="95"/>
  <c r="O57" i="95"/>
  <c r="O58" i="95"/>
  <c r="O59" i="95"/>
  <c r="O60" i="95"/>
  <c r="O61" i="95"/>
  <c r="O62" i="95"/>
  <c r="O63" i="95"/>
  <c r="O64" i="95"/>
  <c r="O65" i="95"/>
  <c r="O66" i="95"/>
  <c r="O67" i="95"/>
  <c r="O68" i="95"/>
  <c r="O69" i="95"/>
  <c r="O70" i="95"/>
  <c r="O71" i="95"/>
  <c r="O72" i="95"/>
  <c r="O73" i="95"/>
  <c r="O74" i="95"/>
  <c r="O75" i="95"/>
  <c r="O76" i="95"/>
  <c r="O77" i="95"/>
  <c r="O78" i="95"/>
  <c r="O79" i="95"/>
  <c r="O80" i="95"/>
  <c r="O81" i="95"/>
  <c r="O82" i="95"/>
  <c r="O18" i="95"/>
  <c r="G28" i="95"/>
  <c r="G29" i="95"/>
  <c r="G30" i="95"/>
  <c r="G31" i="95"/>
  <c r="G33" i="95"/>
  <c r="G34" i="95"/>
  <c r="G35" i="95"/>
  <c r="G36" i="95"/>
  <c r="G37" i="95"/>
  <c r="G39" i="95"/>
  <c r="G40" i="95"/>
  <c r="G41" i="95"/>
  <c r="G42" i="95"/>
  <c r="G43" i="95"/>
  <c r="G44" i="95"/>
  <c r="G45" i="95"/>
  <c r="G46" i="95"/>
  <c r="G47" i="95"/>
  <c r="G48" i="95"/>
  <c r="G49" i="95"/>
  <c r="G50" i="95"/>
  <c r="G51" i="95"/>
  <c r="G52" i="95"/>
  <c r="G53" i="95"/>
  <c r="G54" i="95"/>
  <c r="G55" i="95"/>
  <c r="G56" i="95"/>
  <c r="G57" i="95"/>
  <c r="G58" i="95"/>
  <c r="G59" i="95"/>
  <c r="G60" i="95"/>
  <c r="G61" i="95"/>
  <c r="G62" i="95"/>
  <c r="G63" i="95"/>
  <c r="G64" i="95"/>
  <c r="G65" i="95"/>
  <c r="G66" i="95"/>
  <c r="G67" i="95"/>
  <c r="G68" i="95"/>
  <c r="G69" i="95"/>
  <c r="G70" i="95"/>
  <c r="G71" i="95"/>
  <c r="G72" i="95"/>
  <c r="G73" i="95"/>
  <c r="G74" i="95"/>
  <c r="G75" i="95"/>
  <c r="G76" i="95"/>
  <c r="G77" i="95"/>
  <c r="G78" i="95"/>
  <c r="G79" i="95"/>
  <c r="G80" i="95"/>
  <c r="G81" i="95"/>
  <c r="G82" i="95"/>
  <c r="G27" i="95"/>
  <c r="G18" i="95"/>
  <c r="K19" i="95"/>
  <c r="K20" i="95"/>
  <c r="K22" i="95"/>
  <c r="K23" i="95"/>
  <c r="K24" i="95"/>
  <c r="K26" i="95"/>
  <c r="K27" i="95"/>
  <c r="K28" i="95"/>
  <c r="K29" i="95"/>
  <c r="K30" i="95"/>
  <c r="K31" i="95"/>
  <c r="K33" i="95"/>
  <c r="K34" i="95"/>
  <c r="K35" i="95"/>
  <c r="K36" i="95"/>
  <c r="K37" i="95"/>
  <c r="K38" i="95"/>
  <c r="K39" i="95"/>
  <c r="K40" i="95"/>
  <c r="K41" i="95"/>
  <c r="K42" i="95"/>
  <c r="K43" i="95"/>
  <c r="K44" i="95"/>
  <c r="K45" i="95"/>
  <c r="K46" i="95"/>
  <c r="K47" i="95"/>
  <c r="K48" i="95"/>
  <c r="K49" i="95"/>
  <c r="K50" i="95"/>
  <c r="K51" i="95"/>
  <c r="K52" i="95"/>
  <c r="K53" i="95"/>
  <c r="K54" i="95"/>
  <c r="K55" i="95"/>
  <c r="K56" i="95"/>
  <c r="K57" i="95"/>
  <c r="K58" i="95"/>
  <c r="K59" i="95"/>
  <c r="K60" i="95"/>
  <c r="K61" i="95"/>
  <c r="K62" i="95"/>
  <c r="K63" i="95"/>
  <c r="K64" i="95"/>
  <c r="K65" i="95"/>
  <c r="K66" i="95"/>
  <c r="K67" i="95"/>
  <c r="K68" i="95"/>
  <c r="K69" i="95"/>
  <c r="K70" i="95"/>
  <c r="K71" i="95"/>
  <c r="K72" i="95"/>
  <c r="K73" i="95"/>
  <c r="K74" i="95"/>
  <c r="K75" i="95"/>
  <c r="K76" i="95"/>
  <c r="K77" i="95"/>
  <c r="K78" i="95"/>
  <c r="K79" i="95"/>
  <c r="K80" i="95"/>
  <c r="K81" i="95"/>
  <c r="K82" i="95"/>
  <c r="K18" i="95"/>
  <c r="G19" i="95"/>
  <c r="G20" i="95"/>
  <c r="G22" i="95"/>
  <c r="G23" i="95"/>
  <c r="G24" i="95"/>
  <c r="G26" i="95"/>
  <c r="C19" i="95"/>
  <c r="C20" i="95"/>
  <c r="C22" i="95"/>
  <c r="C23" i="95"/>
  <c r="C24" i="95"/>
  <c r="C26" i="95"/>
  <c r="C27" i="95"/>
  <c r="C28" i="95"/>
  <c r="C29" i="95"/>
  <c r="C30" i="95"/>
  <c r="C31" i="95"/>
  <c r="C33" i="95"/>
  <c r="C34" i="95"/>
  <c r="C35" i="95"/>
  <c r="C36" i="95"/>
  <c r="C37" i="95"/>
  <c r="C38" i="95"/>
  <c r="C39" i="95"/>
  <c r="C40" i="95"/>
  <c r="C41" i="95"/>
  <c r="C42" i="95"/>
  <c r="C43" i="95"/>
  <c r="C44" i="95"/>
  <c r="C45" i="95"/>
  <c r="C46" i="95"/>
  <c r="C47" i="95"/>
  <c r="C48" i="95"/>
  <c r="C49" i="95"/>
  <c r="C50" i="95"/>
  <c r="C51" i="95"/>
  <c r="C52" i="95"/>
  <c r="C53" i="95"/>
  <c r="C54" i="95"/>
  <c r="C55" i="95"/>
  <c r="C56" i="95"/>
  <c r="C57" i="95"/>
  <c r="C58" i="95"/>
  <c r="C59" i="95"/>
  <c r="C60" i="95"/>
  <c r="C61" i="95"/>
  <c r="C62" i="95"/>
  <c r="C63" i="95"/>
  <c r="C64" i="95"/>
  <c r="C65" i="95"/>
  <c r="C66" i="95"/>
  <c r="C67" i="95"/>
  <c r="C68" i="95"/>
  <c r="C69" i="95"/>
  <c r="C70" i="95"/>
  <c r="C71" i="95"/>
  <c r="C72" i="95"/>
  <c r="C73" i="95"/>
  <c r="C74" i="95"/>
  <c r="C75" i="95"/>
  <c r="C76" i="95"/>
  <c r="C77" i="95"/>
  <c r="C78" i="95"/>
  <c r="C79" i="95"/>
  <c r="C80" i="95"/>
  <c r="C81" i="95"/>
  <c r="C82" i="95"/>
  <c r="C18" i="95"/>
  <c r="D16" i="17"/>
  <c r="D9" i="17"/>
  <c r="D5" i="17"/>
  <c r="E17" i="59"/>
  <c r="E10" i="59"/>
  <c r="E6" i="59"/>
  <c r="E18" i="19"/>
  <c r="E11" i="19"/>
  <c r="E7" i="19"/>
  <c r="D15" i="73"/>
  <c r="D26" i="73"/>
  <c r="D19" i="73"/>
  <c r="D28" i="88"/>
  <c r="E28" i="88" s="1"/>
  <c r="D21" i="88"/>
  <c r="E21" i="88" s="1"/>
  <c r="D17" i="88"/>
  <c r="E17" i="88" s="1"/>
  <c r="D15" i="88"/>
  <c r="D16" i="88"/>
  <c r="E16" i="88" s="1"/>
  <c r="D18" i="88"/>
  <c r="D19" i="88"/>
  <c r="D20" i="88"/>
  <c r="D22" i="88"/>
  <c r="D23" i="88"/>
  <c r="D24" i="88"/>
  <c r="D25" i="88"/>
  <c r="D26" i="88"/>
  <c r="D27" i="88"/>
  <c r="D29" i="88"/>
  <c r="D30" i="88"/>
  <c r="D31" i="88"/>
  <c r="D32" i="88"/>
  <c r="D33" i="88"/>
  <c r="D34" i="88"/>
  <c r="D35" i="88"/>
  <c r="D36" i="88"/>
  <c r="D37" i="88"/>
  <c r="D38" i="88"/>
  <c r="D39" i="88"/>
  <c r="D40" i="88"/>
  <c r="D14" i="88"/>
  <c r="J74" i="43"/>
  <c r="T242" i="103" l="1"/>
  <c r="T67" i="103"/>
  <c r="T136" i="103"/>
  <c r="T114" i="103"/>
  <c r="T55" i="103"/>
  <c r="T102" i="103"/>
  <c r="T206" i="103"/>
  <c r="T218" i="103"/>
  <c r="T194" i="103"/>
  <c r="T33" i="103"/>
  <c r="T44" i="103"/>
  <c r="T79" i="103"/>
  <c r="T148" i="103"/>
  <c r="T90" i="103"/>
  <c r="T230" i="103"/>
  <c r="T170" i="103"/>
  <c r="T159" i="103"/>
  <c r="T125" i="103"/>
  <c r="T182" i="103"/>
  <c r="H16" i="76"/>
  <c r="I16" i="76" s="1"/>
  <c r="H12" i="76"/>
  <c r="I12" i="76" s="1"/>
  <c r="F13" i="80"/>
  <c r="G13" i="80" s="1"/>
  <c r="D13" i="76" l="1"/>
  <c r="D14" i="76"/>
  <c r="D15" i="76"/>
  <c r="D17" i="76"/>
  <c r="D18" i="76"/>
  <c r="D19" i="76"/>
  <c r="D20" i="76"/>
  <c r="D21" i="76"/>
  <c r="D22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45" i="76"/>
  <c r="D46" i="76"/>
  <c r="D47" i="76"/>
  <c r="D48" i="76"/>
  <c r="D49" i="76"/>
  <c r="D50" i="76"/>
  <c r="D51" i="76"/>
  <c r="D52" i="76"/>
  <c r="D53" i="76"/>
  <c r="D54" i="76"/>
  <c r="D55" i="76"/>
  <c r="D56" i="76"/>
  <c r="D57" i="76"/>
  <c r="D58" i="76"/>
  <c r="D59" i="76"/>
  <c r="D60" i="76"/>
  <c r="D61" i="76"/>
  <c r="D62" i="76"/>
  <c r="D63" i="76"/>
  <c r="D64" i="76"/>
  <c r="D65" i="76"/>
  <c r="D66" i="76"/>
  <c r="D67" i="76"/>
  <c r="D68" i="76"/>
  <c r="D69" i="76"/>
  <c r="D70" i="76"/>
  <c r="D71" i="76"/>
  <c r="D72" i="76"/>
  <c r="D73" i="76"/>
  <c r="D10" i="76"/>
  <c r="D13" i="86"/>
  <c r="D14" i="86"/>
  <c r="D15" i="86"/>
  <c r="D17" i="86"/>
  <c r="D18" i="86"/>
  <c r="D19" i="86"/>
  <c r="D20" i="86"/>
  <c r="D21" i="86"/>
  <c r="D22" i="86"/>
  <c r="D24" i="86"/>
  <c r="D25" i="86"/>
  <c r="D26" i="86"/>
  <c r="D27" i="86"/>
  <c r="D28" i="86"/>
  <c r="D29" i="86"/>
  <c r="D30" i="86"/>
  <c r="D31" i="86"/>
  <c r="D32" i="86"/>
  <c r="D33" i="86"/>
  <c r="D34" i="86"/>
  <c r="D35" i="86"/>
  <c r="D36" i="86"/>
  <c r="D37" i="86"/>
  <c r="D38" i="86"/>
  <c r="D39" i="86"/>
  <c r="D40" i="86"/>
  <c r="D41" i="86"/>
  <c r="D42" i="86"/>
  <c r="D43" i="86"/>
  <c r="D44" i="86"/>
  <c r="D45" i="86"/>
  <c r="D46" i="86"/>
  <c r="D47" i="86"/>
  <c r="D48" i="86"/>
  <c r="D49" i="86"/>
  <c r="D50" i="86"/>
  <c r="D51" i="86"/>
  <c r="D52" i="86"/>
  <c r="D53" i="86"/>
  <c r="D54" i="86"/>
  <c r="D55" i="86"/>
  <c r="D56" i="86"/>
  <c r="D57" i="86"/>
  <c r="D58" i="86"/>
  <c r="D59" i="86"/>
  <c r="D60" i="86"/>
  <c r="D61" i="86"/>
  <c r="D62" i="86"/>
  <c r="D63" i="86"/>
  <c r="D64" i="86"/>
  <c r="D65" i="86"/>
  <c r="D66" i="86"/>
  <c r="D67" i="86"/>
  <c r="D68" i="86"/>
  <c r="D69" i="86"/>
  <c r="D70" i="86"/>
  <c r="D71" i="86"/>
  <c r="D72" i="86"/>
  <c r="D73" i="86"/>
  <c r="D10" i="86"/>
  <c r="D13" i="81"/>
  <c r="D14" i="81"/>
  <c r="D15" i="81"/>
  <c r="D17" i="81"/>
  <c r="D18" i="81"/>
  <c r="D19" i="81"/>
  <c r="D20" i="81"/>
  <c r="D21" i="81"/>
  <c r="D22" i="81"/>
  <c r="D24" i="81"/>
  <c r="D25" i="81"/>
  <c r="D26" i="81"/>
  <c r="D27" i="81"/>
  <c r="D28" i="81"/>
  <c r="D29" i="81"/>
  <c r="D30" i="81"/>
  <c r="D31" i="81"/>
  <c r="D32" i="81"/>
  <c r="D33" i="81"/>
  <c r="D34" i="81"/>
  <c r="D35" i="81"/>
  <c r="D36" i="81"/>
  <c r="D37" i="81"/>
  <c r="D38" i="81"/>
  <c r="D39" i="81"/>
  <c r="D40" i="81"/>
  <c r="D41" i="81"/>
  <c r="D42" i="81"/>
  <c r="D43" i="81"/>
  <c r="D44" i="81"/>
  <c r="D45" i="81"/>
  <c r="D46" i="81"/>
  <c r="D47" i="81"/>
  <c r="D48" i="81"/>
  <c r="D49" i="81"/>
  <c r="D50" i="81"/>
  <c r="D51" i="81"/>
  <c r="D52" i="81"/>
  <c r="D53" i="81"/>
  <c r="D54" i="81"/>
  <c r="D55" i="81"/>
  <c r="D56" i="81"/>
  <c r="D57" i="81"/>
  <c r="D58" i="81"/>
  <c r="D59" i="81"/>
  <c r="D60" i="81"/>
  <c r="D61" i="81"/>
  <c r="D62" i="81"/>
  <c r="D63" i="81"/>
  <c r="D64" i="81"/>
  <c r="D65" i="81"/>
  <c r="D66" i="81"/>
  <c r="D67" i="81"/>
  <c r="D68" i="81"/>
  <c r="D69" i="81"/>
  <c r="D70" i="81"/>
  <c r="D71" i="81"/>
  <c r="D72" i="81"/>
  <c r="D73" i="81"/>
  <c r="D10" i="81"/>
  <c r="D12" i="77"/>
  <c r="D14" i="77"/>
  <c r="D15" i="77"/>
  <c r="D16" i="77"/>
  <c r="D18" i="77"/>
  <c r="D19" i="77"/>
  <c r="D20" i="77"/>
  <c r="D21" i="77"/>
  <c r="D22" i="77"/>
  <c r="D23" i="77"/>
  <c r="D25" i="77"/>
  <c r="D26" i="77"/>
  <c r="D27" i="77"/>
  <c r="D28" i="77"/>
  <c r="D29" i="77"/>
  <c r="D30" i="77"/>
  <c r="D31" i="77"/>
  <c r="D32" i="77"/>
  <c r="D33" i="77"/>
  <c r="D34" i="77"/>
  <c r="D35" i="77"/>
  <c r="D36" i="77"/>
  <c r="D37" i="77"/>
  <c r="D38" i="77"/>
  <c r="D39" i="77"/>
  <c r="D40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D59" i="77"/>
  <c r="D60" i="77"/>
  <c r="D61" i="77"/>
  <c r="D62" i="77"/>
  <c r="D63" i="77"/>
  <c r="D64" i="77"/>
  <c r="D65" i="77"/>
  <c r="D66" i="77"/>
  <c r="D67" i="77"/>
  <c r="D68" i="77"/>
  <c r="D69" i="77"/>
  <c r="D70" i="77"/>
  <c r="D71" i="77"/>
  <c r="D72" i="77"/>
  <c r="D73" i="77"/>
  <c r="D74" i="77"/>
  <c r="D11" i="77"/>
  <c r="E39" i="42"/>
  <c r="E40" i="42"/>
  <c r="E41" i="42"/>
  <c r="E42" i="42"/>
  <c r="E43" i="42"/>
  <c r="E44" i="42"/>
  <c r="E45" i="42"/>
  <c r="E46" i="42"/>
  <c r="E47" i="42"/>
  <c r="E48" i="42"/>
  <c r="E49" i="42"/>
  <c r="E50" i="42"/>
  <c r="E51" i="42"/>
  <c r="E52" i="42"/>
  <c r="E53" i="42"/>
  <c r="E54" i="42"/>
  <c r="E55" i="42"/>
  <c r="E56" i="42"/>
  <c r="E57" i="42"/>
  <c r="E58" i="42"/>
  <c r="E59" i="42"/>
  <c r="E60" i="42"/>
  <c r="E61" i="42"/>
  <c r="E62" i="42"/>
  <c r="E63" i="42"/>
  <c r="E64" i="42"/>
  <c r="E65" i="42"/>
  <c r="E66" i="42"/>
  <c r="E67" i="42"/>
  <c r="E68" i="42"/>
  <c r="E69" i="42"/>
  <c r="E70" i="42"/>
  <c r="E71" i="42"/>
  <c r="E72" i="42"/>
  <c r="E73" i="42"/>
  <c r="E74" i="42"/>
  <c r="E75" i="42"/>
  <c r="E38" i="42"/>
  <c r="F11" i="43"/>
  <c r="F13" i="43"/>
  <c r="F14" i="43"/>
  <c r="F15" i="43"/>
  <c r="F17" i="43"/>
  <c r="F18" i="43"/>
  <c r="F19" i="43"/>
  <c r="F20" i="43"/>
  <c r="F21" i="43"/>
  <c r="F22" i="43"/>
  <c r="F24" i="43"/>
  <c r="F25" i="43"/>
  <c r="F26" i="43"/>
  <c r="F27" i="43"/>
  <c r="F28" i="43"/>
  <c r="F29" i="43"/>
  <c r="F30" i="43"/>
  <c r="F31" i="43"/>
  <c r="F32" i="43"/>
  <c r="F33" i="43"/>
  <c r="F34" i="43"/>
  <c r="F35" i="43"/>
  <c r="F36" i="43"/>
  <c r="F37" i="43"/>
  <c r="F38" i="43"/>
  <c r="F10" i="43"/>
  <c r="G10" i="43" s="1"/>
  <c r="D67" i="17" l="1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7" i="17"/>
  <c r="D8" i="17"/>
  <c r="D10" i="17"/>
  <c r="D11" i="17"/>
  <c r="D12" i="17"/>
  <c r="D13" i="17"/>
  <c r="D14" i="17"/>
  <c r="D15" i="17"/>
  <c r="D17" i="17"/>
  <c r="D18" i="17"/>
  <c r="D19" i="17"/>
  <c r="D20" i="17"/>
  <c r="D21" i="17"/>
  <c r="D23" i="17"/>
  <c r="D24" i="17"/>
  <c r="D25" i="17"/>
  <c r="D26" i="17"/>
  <c r="D27" i="17"/>
  <c r="D28" i="17"/>
  <c r="D29" i="17"/>
  <c r="D30" i="17"/>
  <c r="D31" i="17"/>
  <c r="D6" i="17"/>
  <c r="D18" i="73"/>
  <c r="D22" i="73"/>
  <c r="D23" i="73"/>
  <c r="D24" i="73"/>
  <c r="D25" i="73"/>
  <c r="D27" i="73"/>
  <c r="D28" i="73"/>
  <c r="D29" i="73"/>
  <c r="D30" i="73"/>
  <c r="D31" i="73"/>
  <c r="D32" i="73"/>
  <c r="D33" i="73"/>
  <c r="D34" i="73"/>
  <c r="D35" i="73"/>
  <c r="D36" i="73"/>
  <c r="D37" i="73"/>
  <c r="D38" i="73"/>
  <c r="D39" i="73"/>
  <c r="D40" i="73"/>
  <c r="D41" i="73"/>
  <c r="D42" i="73"/>
  <c r="D43" i="73"/>
  <c r="D44" i="73"/>
  <c r="D45" i="73"/>
  <c r="D46" i="73"/>
  <c r="D47" i="73"/>
  <c r="D48" i="73"/>
  <c r="D49" i="73"/>
  <c r="D50" i="73"/>
  <c r="D51" i="73"/>
  <c r="D52" i="73"/>
  <c r="D53" i="73"/>
  <c r="D54" i="73"/>
  <c r="D55" i="73"/>
  <c r="D56" i="73"/>
  <c r="D57" i="73"/>
  <c r="D58" i="73"/>
  <c r="D59" i="73"/>
  <c r="D60" i="73"/>
  <c r="D61" i="73"/>
  <c r="D62" i="73"/>
  <c r="D63" i="73"/>
  <c r="D64" i="73"/>
  <c r="D65" i="73"/>
  <c r="D66" i="73"/>
  <c r="D67" i="73"/>
  <c r="D68" i="73"/>
  <c r="D69" i="73"/>
  <c r="D70" i="73"/>
  <c r="D71" i="73"/>
  <c r="D72" i="73"/>
  <c r="D73" i="73"/>
  <c r="D74" i="73"/>
  <c r="D75" i="73"/>
  <c r="D76" i="73"/>
  <c r="D21" i="73"/>
  <c r="D20" i="73"/>
  <c r="D14" i="73"/>
  <c r="D17" i="73"/>
  <c r="D16" i="73"/>
  <c r="D13" i="73"/>
  <c r="E9" i="73"/>
  <c r="E8" i="73"/>
  <c r="E15" i="88"/>
  <c r="E18" i="88"/>
  <c r="E19" i="88"/>
  <c r="E20" i="88"/>
  <c r="E22" i="88"/>
  <c r="E23" i="88"/>
  <c r="E24" i="88"/>
  <c r="E25" i="88"/>
  <c r="E26" i="88"/>
  <c r="E27" i="88"/>
  <c r="E29" i="88"/>
  <c r="E30" i="88"/>
  <c r="E31" i="88"/>
  <c r="E32" i="88"/>
  <c r="E33" i="88"/>
  <c r="E34" i="88"/>
  <c r="E35" i="88"/>
  <c r="E36" i="88"/>
  <c r="E37" i="88"/>
  <c r="E38" i="88"/>
  <c r="E39" i="88"/>
  <c r="D45" i="88"/>
  <c r="D46" i="88"/>
  <c r="D47" i="88"/>
  <c r="D48" i="88"/>
  <c r="D49" i="88"/>
  <c r="D50" i="88"/>
  <c r="D51" i="88"/>
  <c r="D52" i="88"/>
  <c r="D53" i="88"/>
  <c r="D54" i="88"/>
  <c r="D55" i="88"/>
  <c r="D56" i="88"/>
  <c r="D57" i="88"/>
  <c r="D58" i="88"/>
  <c r="D59" i="88"/>
  <c r="D60" i="88"/>
  <c r="D61" i="88"/>
  <c r="D62" i="88"/>
  <c r="D63" i="88"/>
  <c r="D64" i="88"/>
  <c r="D65" i="88"/>
  <c r="D66" i="88"/>
  <c r="D67" i="88"/>
  <c r="D68" i="88"/>
  <c r="D69" i="88"/>
  <c r="D70" i="88"/>
  <c r="D71" i="88"/>
  <c r="D72" i="88"/>
  <c r="D73" i="88"/>
  <c r="D74" i="88"/>
  <c r="D75" i="88"/>
  <c r="D76" i="88"/>
  <c r="D77" i="88"/>
  <c r="D78" i="88"/>
  <c r="D42" i="88"/>
  <c r="D43" i="88"/>
  <c r="D44" i="88"/>
  <c r="D41" i="88"/>
  <c r="F6" i="88"/>
  <c r="F4" i="88"/>
  <c r="F8" i="88" s="1"/>
  <c r="E40" i="88"/>
  <c r="E14" i="88"/>
  <c r="J40" i="43" l="1"/>
  <c r="J41" i="43"/>
  <c r="J42" i="43"/>
  <c r="J43" i="43"/>
  <c r="J44" i="43"/>
  <c r="J45" i="43"/>
  <c r="J46" i="43"/>
  <c r="J47" i="43"/>
  <c r="J48" i="43"/>
  <c r="J49" i="43"/>
  <c r="J50" i="43"/>
  <c r="J51" i="43"/>
  <c r="J52" i="43"/>
  <c r="J53" i="43"/>
  <c r="J54" i="43"/>
  <c r="J55" i="43"/>
  <c r="J56" i="43"/>
  <c r="J57" i="43"/>
  <c r="J58" i="43"/>
  <c r="J59" i="43"/>
  <c r="J60" i="43"/>
  <c r="J61" i="43"/>
  <c r="J62" i="43"/>
  <c r="J63" i="43"/>
  <c r="J64" i="43"/>
  <c r="J65" i="43"/>
  <c r="J66" i="43"/>
  <c r="J67" i="43"/>
  <c r="J68" i="43"/>
  <c r="J69" i="43"/>
  <c r="J70" i="43"/>
  <c r="J71" i="43"/>
  <c r="J72" i="43"/>
  <c r="J73" i="43"/>
  <c r="J39" i="43"/>
  <c r="J21" i="43"/>
  <c r="J22" i="43"/>
  <c r="J24" i="43"/>
  <c r="J25" i="43"/>
  <c r="J26" i="43"/>
  <c r="J27" i="43"/>
  <c r="J28" i="43"/>
  <c r="J29" i="43"/>
  <c r="J30" i="43"/>
  <c r="J31" i="43"/>
  <c r="J32" i="43"/>
  <c r="J33" i="43"/>
  <c r="J34" i="43"/>
  <c r="J35" i="43"/>
  <c r="J36" i="43"/>
  <c r="J37" i="43"/>
  <c r="J38" i="43"/>
  <c r="J20" i="43"/>
  <c r="E70" i="94" l="1"/>
  <c r="E69" i="94"/>
  <c r="E68" i="94"/>
  <c r="E67" i="94"/>
  <c r="E66" i="94"/>
  <c r="E65" i="94"/>
  <c r="E64" i="94"/>
  <c r="E63" i="94"/>
  <c r="E62" i="94"/>
  <c r="E61" i="94"/>
  <c r="E60" i="94"/>
  <c r="E59" i="94"/>
  <c r="E58" i="94"/>
  <c r="E57" i="94"/>
  <c r="E56" i="94"/>
  <c r="E55" i="94"/>
  <c r="E54" i="94"/>
  <c r="E53" i="94"/>
  <c r="E52" i="94"/>
  <c r="E51" i="94"/>
  <c r="E50" i="94"/>
  <c r="E49" i="94"/>
  <c r="E48" i="94"/>
  <c r="E47" i="94"/>
  <c r="E46" i="94"/>
  <c r="E45" i="94"/>
  <c r="E44" i="94"/>
  <c r="E43" i="94"/>
  <c r="E42" i="94"/>
  <c r="E41" i="94"/>
  <c r="E40" i="94"/>
  <c r="E39" i="94"/>
  <c r="E38" i="94"/>
  <c r="E37" i="94"/>
  <c r="E36" i="94"/>
  <c r="E35" i="94"/>
  <c r="E34" i="94"/>
  <c r="E33" i="94"/>
  <c r="E32" i="94"/>
  <c r="E31" i="94"/>
  <c r="E30" i="94"/>
  <c r="E29" i="94"/>
  <c r="E28" i="94"/>
  <c r="E27" i="94"/>
  <c r="E26" i="94"/>
  <c r="E25" i="94"/>
  <c r="E24" i="94"/>
  <c r="E23" i="94"/>
  <c r="E22" i="94"/>
  <c r="E21" i="94"/>
  <c r="E19" i="94"/>
  <c r="E18" i="94"/>
  <c r="E17" i="94"/>
  <c r="E16" i="94"/>
  <c r="E15" i="94"/>
  <c r="E14" i="94"/>
  <c r="E12" i="94"/>
  <c r="E11" i="94"/>
  <c r="E10" i="94"/>
  <c r="E7" i="94"/>
  <c r="D13" i="78" l="1"/>
  <c r="D15" i="78"/>
  <c r="D16" i="78"/>
  <c r="D17" i="78"/>
  <c r="D19" i="78"/>
  <c r="D20" i="78"/>
  <c r="D21" i="78"/>
  <c r="D22" i="78"/>
  <c r="D23" i="78"/>
  <c r="D24" i="78"/>
  <c r="D26" i="78"/>
  <c r="D27" i="78"/>
  <c r="D28" i="78"/>
  <c r="D29" i="78"/>
  <c r="D30" i="78"/>
  <c r="D31" i="78"/>
  <c r="D32" i="78"/>
  <c r="D33" i="78"/>
  <c r="D34" i="78"/>
  <c r="D35" i="78"/>
  <c r="D36" i="78"/>
  <c r="D37" i="78"/>
  <c r="D38" i="78"/>
  <c r="D39" i="78"/>
  <c r="D40" i="78"/>
  <c r="D12" i="78"/>
  <c r="F26" i="78" l="1"/>
  <c r="F28" i="78"/>
  <c r="F34" i="78"/>
  <c r="F35" i="78"/>
  <c r="F41" i="78"/>
  <c r="F42" i="78"/>
  <c r="F43" i="78"/>
  <c r="F44" i="78"/>
  <c r="F45" i="78"/>
  <c r="F46" i="78"/>
  <c r="F49" i="78"/>
  <c r="F50" i="78"/>
  <c r="F51" i="78"/>
  <c r="F52" i="78"/>
  <c r="F53" i="78"/>
  <c r="F54" i="78"/>
  <c r="F57" i="78"/>
  <c r="F58" i="78"/>
  <c r="F59" i="78"/>
  <c r="F60" i="78"/>
  <c r="F61" i="78"/>
  <c r="F62" i="78"/>
  <c r="F65" i="78"/>
  <c r="F66" i="78"/>
  <c r="F67" i="78"/>
  <c r="F68" i="78"/>
  <c r="F69" i="78"/>
  <c r="F70" i="78"/>
  <c r="F73" i="78"/>
  <c r="F74" i="78"/>
  <c r="F75" i="78"/>
  <c r="F13" i="78"/>
  <c r="F15" i="78"/>
  <c r="F16" i="78"/>
  <c r="F17" i="78"/>
  <c r="F19" i="78"/>
  <c r="F20" i="78"/>
  <c r="F21" i="78"/>
  <c r="F22" i="78"/>
  <c r="F23" i="78"/>
  <c r="F24" i="78"/>
  <c r="F27" i="78"/>
  <c r="F29" i="78"/>
  <c r="F30" i="78"/>
  <c r="F31" i="78"/>
  <c r="F32" i="78"/>
  <c r="F33" i="78"/>
  <c r="F36" i="78"/>
  <c r="F37" i="78"/>
  <c r="F38" i="78"/>
  <c r="F39" i="78"/>
  <c r="F40" i="78"/>
  <c r="F47" i="78"/>
  <c r="F48" i="78"/>
  <c r="F55" i="78"/>
  <c r="F56" i="78"/>
  <c r="F63" i="78"/>
  <c r="F64" i="78"/>
  <c r="F71" i="78"/>
  <c r="F72" i="78"/>
  <c r="F12" i="78"/>
  <c r="J20" i="22" l="1"/>
  <c r="J19" i="22"/>
  <c r="J18" i="22"/>
  <c r="J17" i="22"/>
  <c r="J15" i="22"/>
  <c r="J14" i="22"/>
  <c r="M35" i="60"/>
  <c r="M34" i="60"/>
  <c r="M33" i="60"/>
  <c r="M32" i="60"/>
  <c r="M31" i="60"/>
  <c r="L42" i="80"/>
  <c r="L41" i="80"/>
  <c r="L40" i="80"/>
  <c r="L39" i="80"/>
  <c r="L38" i="80"/>
  <c r="U13" i="42"/>
  <c r="U12" i="42"/>
  <c r="U11" i="42"/>
  <c r="U10" i="42"/>
  <c r="U9" i="42"/>
  <c r="O38" i="43"/>
  <c r="O37" i="43"/>
  <c r="O36" i="43"/>
  <c r="O35" i="43"/>
  <c r="O34" i="43"/>
  <c r="I37" i="18" l="1"/>
  <c r="I36" i="18"/>
  <c r="I35" i="18"/>
  <c r="I34" i="18"/>
  <c r="I33" i="18"/>
  <c r="I32" i="18"/>
  <c r="E8" i="85" l="1"/>
  <c r="E10" i="85"/>
  <c r="E11" i="85"/>
  <c r="E12" i="85"/>
  <c r="E14" i="85"/>
  <c r="E15" i="85"/>
  <c r="E16" i="85"/>
  <c r="E17" i="85"/>
  <c r="E18" i="85"/>
  <c r="E19" i="85"/>
  <c r="E21" i="85"/>
  <c r="E22" i="85"/>
  <c r="E23" i="85"/>
  <c r="E24" i="85"/>
  <c r="E25" i="85"/>
  <c r="E26" i="85"/>
  <c r="E27" i="85"/>
  <c r="E28" i="85"/>
  <c r="E29" i="85"/>
  <c r="E30" i="85"/>
  <c r="E31" i="85"/>
  <c r="E32" i="85"/>
  <c r="E33" i="85"/>
  <c r="E34" i="85"/>
  <c r="E35" i="85"/>
  <c r="E36" i="85"/>
  <c r="E37" i="85"/>
  <c r="E38" i="85"/>
  <c r="E39" i="85"/>
  <c r="E40" i="85"/>
  <c r="E41" i="85"/>
  <c r="E42" i="85"/>
  <c r="E43" i="85"/>
  <c r="E44" i="85"/>
  <c r="E45" i="85"/>
  <c r="E46" i="85"/>
  <c r="E47" i="85"/>
  <c r="E48" i="85"/>
  <c r="E49" i="85"/>
  <c r="E50" i="85"/>
  <c r="E51" i="85"/>
  <c r="E52" i="85"/>
  <c r="E53" i="85"/>
  <c r="E54" i="85"/>
  <c r="E55" i="85"/>
  <c r="E56" i="85"/>
  <c r="E57" i="85"/>
  <c r="E58" i="85"/>
  <c r="E59" i="85"/>
  <c r="E60" i="85"/>
  <c r="E61" i="85"/>
  <c r="E62" i="85"/>
  <c r="E63" i="85"/>
  <c r="E64" i="85"/>
  <c r="E65" i="85"/>
  <c r="E66" i="85"/>
  <c r="E67" i="85"/>
  <c r="E68" i="85"/>
  <c r="E69" i="85"/>
  <c r="E70" i="85"/>
  <c r="E7" i="85"/>
  <c r="E5" i="42"/>
  <c r="E43" i="88" l="1"/>
  <c r="E42" i="88"/>
  <c r="E41" i="88"/>
  <c r="E78" i="88" l="1"/>
  <c r="E77" i="88"/>
  <c r="E76" i="88"/>
  <c r="E75" i="88"/>
  <c r="E74" i="88"/>
  <c r="E73" i="88"/>
  <c r="E72" i="88"/>
  <c r="E71" i="88"/>
  <c r="E70" i="88"/>
  <c r="E69" i="88"/>
  <c r="E68" i="88"/>
  <c r="E67" i="88"/>
  <c r="E66" i="88"/>
  <c r="E65" i="88"/>
  <c r="E64" i="88"/>
  <c r="E63" i="88"/>
  <c r="E62" i="88"/>
  <c r="E61" i="88"/>
  <c r="E60" i="88"/>
  <c r="E59" i="88"/>
  <c r="E58" i="88"/>
  <c r="E57" i="88"/>
  <c r="E56" i="88"/>
  <c r="E55" i="88"/>
  <c r="E54" i="88"/>
  <c r="E53" i="88"/>
  <c r="E52" i="88"/>
  <c r="E51" i="88"/>
  <c r="E50" i="88"/>
  <c r="E49" i="88"/>
  <c r="E48" i="88"/>
  <c r="E47" i="88"/>
  <c r="E46" i="88"/>
  <c r="E45" i="88"/>
  <c r="E44" i="88"/>
  <c r="F11" i="86" l="1"/>
  <c r="F13" i="86"/>
  <c r="F14" i="86"/>
  <c r="F15" i="86"/>
  <c r="F17" i="86"/>
  <c r="F18" i="86"/>
  <c r="F19" i="86"/>
  <c r="F20" i="86"/>
  <c r="F21" i="86"/>
  <c r="F22" i="86"/>
  <c r="F24" i="86"/>
  <c r="F25" i="86"/>
  <c r="F26" i="86"/>
  <c r="F27" i="86"/>
  <c r="F28" i="86"/>
  <c r="F29" i="86"/>
  <c r="F30" i="86"/>
  <c r="F31" i="86"/>
  <c r="F32" i="86"/>
  <c r="F33" i="86"/>
  <c r="F34" i="86"/>
  <c r="F35" i="86"/>
  <c r="F36" i="86"/>
  <c r="F37" i="86"/>
  <c r="F38" i="86"/>
  <c r="F39" i="86"/>
  <c r="F40" i="86"/>
  <c r="F41" i="86"/>
  <c r="F42" i="86"/>
  <c r="F43" i="86"/>
  <c r="F44" i="86"/>
  <c r="F45" i="86"/>
  <c r="F46" i="86"/>
  <c r="F47" i="86"/>
  <c r="F48" i="86"/>
  <c r="F49" i="86"/>
  <c r="F50" i="86"/>
  <c r="F51" i="86"/>
  <c r="F52" i="86"/>
  <c r="F53" i="86"/>
  <c r="F54" i="86"/>
  <c r="F55" i="86"/>
  <c r="F56" i="86"/>
  <c r="F57" i="86"/>
  <c r="F58" i="86"/>
  <c r="F59" i="86"/>
  <c r="F60" i="86"/>
  <c r="F61" i="86"/>
  <c r="F62" i="86"/>
  <c r="F63" i="86"/>
  <c r="F64" i="86"/>
  <c r="F65" i="86"/>
  <c r="F66" i="86"/>
  <c r="F67" i="86"/>
  <c r="F68" i="86"/>
  <c r="F69" i="86"/>
  <c r="F70" i="86"/>
  <c r="F71" i="86"/>
  <c r="F72" i="86"/>
  <c r="F73" i="86"/>
  <c r="F10" i="86"/>
  <c r="F56" i="85" l="1"/>
  <c r="F8" i="85"/>
  <c r="F10" i="85"/>
  <c r="F11" i="85"/>
  <c r="F12" i="85"/>
  <c r="F14" i="85"/>
  <c r="F15" i="85"/>
  <c r="F16" i="85"/>
  <c r="F17" i="85"/>
  <c r="F18" i="85"/>
  <c r="F19" i="85"/>
  <c r="F21" i="85"/>
  <c r="F22" i="85"/>
  <c r="F23" i="85"/>
  <c r="F24" i="85"/>
  <c r="F25" i="85"/>
  <c r="F26" i="85"/>
  <c r="F27" i="85"/>
  <c r="F28" i="85"/>
  <c r="F29" i="85"/>
  <c r="F30" i="85"/>
  <c r="F31" i="85"/>
  <c r="F32" i="85"/>
  <c r="F33" i="85"/>
  <c r="F34" i="85"/>
  <c r="F35" i="85"/>
  <c r="F36" i="85"/>
  <c r="F37" i="85"/>
  <c r="F38" i="85"/>
  <c r="F39" i="85"/>
  <c r="F40" i="85"/>
  <c r="F41" i="85"/>
  <c r="F42" i="85"/>
  <c r="F43" i="85"/>
  <c r="F44" i="85"/>
  <c r="F45" i="85"/>
  <c r="F46" i="85"/>
  <c r="F47" i="85"/>
  <c r="F48" i="85"/>
  <c r="F49" i="85"/>
  <c r="F50" i="85"/>
  <c r="F51" i="85"/>
  <c r="F52" i="85"/>
  <c r="F53" i="85"/>
  <c r="F54" i="85"/>
  <c r="F55" i="85"/>
  <c r="F57" i="85"/>
  <c r="F58" i="85"/>
  <c r="F59" i="85"/>
  <c r="F60" i="85"/>
  <c r="F61" i="85"/>
  <c r="F62" i="85"/>
  <c r="F63" i="85"/>
  <c r="F64" i="85"/>
  <c r="F65" i="85"/>
  <c r="F66" i="85"/>
  <c r="F67" i="85"/>
  <c r="F68" i="85"/>
  <c r="F69" i="85"/>
  <c r="F70" i="85"/>
  <c r="F7" i="85"/>
  <c r="E36" i="60" l="1"/>
  <c r="E37" i="60"/>
  <c r="E38" i="60"/>
  <c r="E39" i="60"/>
  <c r="E40" i="60"/>
  <c r="E41" i="60"/>
  <c r="E42" i="60"/>
  <c r="E43" i="60"/>
  <c r="E44" i="60"/>
  <c r="E45" i="60"/>
  <c r="E46" i="60"/>
  <c r="E47" i="60"/>
  <c r="E48" i="60"/>
  <c r="E49" i="60"/>
  <c r="E50" i="60"/>
  <c r="E51" i="60"/>
  <c r="E52" i="60"/>
  <c r="E53" i="60"/>
  <c r="E54" i="60"/>
  <c r="E55" i="60"/>
  <c r="E56" i="60"/>
  <c r="E57" i="60"/>
  <c r="E58" i="60"/>
  <c r="E59" i="60"/>
  <c r="E60" i="60"/>
  <c r="E61" i="60"/>
  <c r="E62" i="60"/>
  <c r="E63" i="60"/>
  <c r="E64" i="60"/>
  <c r="E65" i="60"/>
  <c r="E66" i="60"/>
  <c r="E67" i="60"/>
  <c r="E68" i="60"/>
  <c r="E69" i="60"/>
  <c r="E70" i="60"/>
  <c r="E8" i="60"/>
  <c r="E10" i="60"/>
  <c r="E11" i="60"/>
  <c r="E12" i="60"/>
  <c r="E14" i="60"/>
  <c r="E15" i="60"/>
  <c r="E16" i="60"/>
  <c r="E17" i="60"/>
  <c r="E18" i="60"/>
  <c r="E19" i="60"/>
  <c r="E21" i="60"/>
  <c r="E22" i="60"/>
  <c r="E23" i="60"/>
  <c r="E24" i="60"/>
  <c r="E25" i="60"/>
  <c r="E26" i="60"/>
  <c r="E27" i="60"/>
  <c r="E28" i="60"/>
  <c r="E29" i="60"/>
  <c r="E30" i="60"/>
  <c r="E31" i="60"/>
  <c r="E32" i="60"/>
  <c r="E33" i="60"/>
  <c r="E34" i="60"/>
  <c r="E35" i="60"/>
  <c r="E7" i="60"/>
  <c r="G7" i="60" s="1"/>
  <c r="E8" i="80" l="1"/>
  <c r="F8" i="80" s="1"/>
  <c r="E10" i="80"/>
  <c r="F10" i="80" s="1"/>
  <c r="E11" i="80"/>
  <c r="F11" i="80" s="1"/>
  <c r="E12" i="80"/>
  <c r="E14" i="80"/>
  <c r="F14" i="80" s="1"/>
  <c r="E15" i="80"/>
  <c r="F15" i="80" s="1"/>
  <c r="E16" i="80"/>
  <c r="F16" i="80" s="1"/>
  <c r="E17" i="80"/>
  <c r="E18" i="80"/>
  <c r="F18" i="80" s="1"/>
  <c r="E21" i="80"/>
  <c r="F21" i="80" s="1"/>
  <c r="E22" i="80"/>
  <c r="E23" i="80"/>
  <c r="F23" i="80" s="1"/>
  <c r="E24" i="80"/>
  <c r="E25" i="80"/>
  <c r="F25" i="80" s="1"/>
  <c r="E26" i="80"/>
  <c r="E27" i="80"/>
  <c r="F27" i="80" s="1"/>
  <c r="E28" i="80"/>
  <c r="E29" i="80"/>
  <c r="F29" i="80" s="1"/>
  <c r="E30" i="80"/>
  <c r="E31" i="80"/>
  <c r="F31" i="80" s="1"/>
  <c r="E32" i="80"/>
  <c r="E33" i="80"/>
  <c r="F33" i="80" s="1"/>
  <c r="E34" i="80"/>
  <c r="E35" i="80"/>
  <c r="F35" i="80" s="1"/>
  <c r="E36" i="80"/>
  <c r="E37" i="80"/>
  <c r="F37" i="80" s="1"/>
  <c r="E38" i="80"/>
  <c r="E39" i="80"/>
  <c r="F39" i="80" s="1"/>
  <c r="E40" i="80"/>
  <c r="E41" i="80"/>
  <c r="F41" i="80" s="1"/>
  <c r="E42" i="80"/>
  <c r="E43" i="80"/>
  <c r="F43" i="80" s="1"/>
  <c r="E44" i="80"/>
  <c r="E45" i="80"/>
  <c r="F45" i="80" s="1"/>
  <c r="E46" i="80"/>
  <c r="E47" i="80"/>
  <c r="F47" i="80" s="1"/>
  <c r="E48" i="80"/>
  <c r="E49" i="80"/>
  <c r="F49" i="80" s="1"/>
  <c r="E50" i="80"/>
  <c r="E51" i="80"/>
  <c r="F51" i="80" s="1"/>
  <c r="E52" i="80"/>
  <c r="E53" i="80"/>
  <c r="F53" i="80" s="1"/>
  <c r="E54" i="80"/>
  <c r="E55" i="80"/>
  <c r="F55" i="80" s="1"/>
  <c r="E56" i="80"/>
  <c r="E57" i="80"/>
  <c r="F57" i="80" s="1"/>
  <c r="E58" i="80"/>
  <c r="E59" i="80"/>
  <c r="F59" i="80" s="1"/>
  <c r="E60" i="80"/>
  <c r="E61" i="80"/>
  <c r="F61" i="80" s="1"/>
  <c r="E62" i="80"/>
  <c r="E63" i="80"/>
  <c r="F63" i="80" s="1"/>
  <c r="E64" i="80"/>
  <c r="E65" i="80"/>
  <c r="F65" i="80" s="1"/>
  <c r="E66" i="80"/>
  <c r="E67" i="80"/>
  <c r="F67" i="80" s="1"/>
  <c r="E68" i="80"/>
  <c r="E69" i="80"/>
  <c r="F69" i="80" s="1"/>
  <c r="E70" i="80"/>
  <c r="E7" i="80"/>
  <c r="F10" i="81"/>
  <c r="F72" i="81"/>
  <c r="F67" i="81"/>
  <c r="F56" i="80" l="1"/>
  <c r="G56" i="80" s="1"/>
  <c r="F32" i="80"/>
  <c r="G32" i="80" s="1"/>
  <c r="F7" i="80"/>
  <c r="G7" i="80" s="1"/>
  <c r="F70" i="80"/>
  <c r="G70" i="80" s="1"/>
  <c r="F54" i="80"/>
  <c r="G54" i="80" s="1"/>
  <c r="F38" i="80"/>
  <c r="G38" i="80" s="1"/>
  <c r="F22" i="80"/>
  <c r="G22" i="80" s="1"/>
  <c r="F60" i="80"/>
  <c r="G60" i="80" s="1"/>
  <c r="F44" i="80"/>
  <c r="G44" i="80" s="1"/>
  <c r="F36" i="80"/>
  <c r="G36" i="80" s="1"/>
  <c r="F28" i="80"/>
  <c r="G28" i="80" s="1"/>
  <c r="F66" i="80"/>
  <c r="G66" i="80" s="1"/>
  <c r="F58" i="80"/>
  <c r="G58" i="80" s="1"/>
  <c r="F50" i="80"/>
  <c r="G50" i="80" s="1"/>
  <c r="F42" i="80"/>
  <c r="G42" i="80" s="1"/>
  <c r="F34" i="80"/>
  <c r="G34" i="80" s="1"/>
  <c r="F26" i="80"/>
  <c r="G26" i="80" s="1"/>
  <c r="F17" i="80"/>
  <c r="G17" i="80" s="1"/>
  <c r="F64" i="80"/>
  <c r="G64" i="80" s="1"/>
  <c r="F48" i="80"/>
  <c r="G48" i="80" s="1"/>
  <c r="F40" i="80"/>
  <c r="G40" i="80" s="1"/>
  <c r="F24" i="80"/>
  <c r="G24" i="80" s="1"/>
  <c r="F62" i="80"/>
  <c r="G62" i="80" s="1"/>
  <c r="F46" i="80"/>
  <c r="G46" i="80" s="1"/>
  <c r="F30" i="80"/>
  <c r="G30" i="80" s="1"/>
  <c r="F12" i="80"/>
  <c r="G12" i="80" s="1"/>
  <c r="F68" i="80"/>
  <c r="G68" i="80" s="1"/>
  <c r="F52" i="80"/>
  <c r="G52" i="80" s="1"/>
  <c r="G61" i="80"/>
  <c r="G41" i="80"/>
  <c r="G25" i="80"/>
  <c r="G10" i="80"/>
  <c r="G15" i="80"/>
  <c r="G65" i="80"/>
  <c r="G49" i="80"/>
  <c r="G37" i="80"/>
  <c r="G16" i="80"/>
  <c r="G67" i="80"/>
  <c r="G63" i="80"/>
  <c r="G59" i="80"/>
  <c r="G51" i="80"/>
  <c r="G47" i="80"/>
  <c r="G43" i="80"/>
  <c r="G39" i="80"/>
  <c r="G35" i="80"/>
  <c r="G27" i="80"/>
  <c r="G23" i="80"/>
  <c r="G18" i="80"/>
  <c r="G14" i="80"/>
  <c r="G8" i="80"/>
  <c r="G57" i="80"/>
  <c r="G33" i="80"/>
  <c r="G55" i="80"/>
  <c r="G11" i="80"/>
  <c r="G31" i="80"/>
  <c r="G45" i="80"/>
  <c r="G29" i="80"/>
  <c r="G69" i="80"/>
  <c r="G53" i="80"/>
  <c r="G21" i="80"/>
  <c r="F36" i="81"/>
  <c r="F39" i="81"/>
  <c r="F42" i="81"/>
  <c r="F45" i="81"/>
  <c r="F54" i="81"/>
  <c r="F17" i="81"/>
  <c r="F20" i="81"/>
  <c r="F24" i="81"/>
  <c r="F27" i="81"/>
  <c r="F63" i="81"/>
  <c r="F13" i="81"/>
  <c r="F60" i="81"/>
  <c r="F30" i="81"/>
  <c r="F66" i="81"/>
  <c r="F48" i="81"/>
  <c r="F51" i="81"/>
  <c r="F57" i="81"/>
  <c r="F33" i="81"/>
  <c r="F69" i="81"/>
  <c r="F21" i="81"/>
  <c r="F49" i="81"/>
  <c r="F15" i="81"/>
  <c r="F19" i="81"/>
  <c r="F22" i="81"/>
  <c r="F26" i="81"/>
  <c r="F29" i="81"/>
  <c r="F32" i="81"/>
  <c r="F35" i="81"/>
  <c r="F38" i="81"/>
  <c r="F41" i="81"/>
  <c r="F44" i="81"/>
  <c r="F47" i="81"/>
  <c r="F50" i="81"/>
  <c r="F53" i="81"/>
  <c r="F56" i="81"/>
  <c r="F59" i="81"/>
  <c r="F62" i="81"/>
  <c r="F65" i="81"/>
  <c r="F68" i="81"/>
  <c r="F71" i="81"/>
  <c r="F18" i="81"/>
  <c r="F31" i="81"/>
  <c r="F40" i="81"/>
  <c r="F52" i="81"/>
  <c r="F61" i="81"/>
  <c r="F70" i="81"/>
  <c r="F25" i="81"/>
  <c r="F37" i="81"/>
  <c r="F46" i="81"/>
  <c r="F58" i="81"/>
  <c r="F64" i="81"/>
  <c r="F73" i="81"/>
  <c r="F14" i="81"/>
  <c r="F28" i="81"/>
  <c r="F34" i="81"/>
  <c r="F43" i="81"/>
  <c r="F55" i="81"/>
  <c r="E6" i="19" l="1"/>
  <c r="E8" i="19"/>
  <c r="E9" i="19"/>
  <c r="E10" i="19"/>
  <c r="E12" i="19"/>
  <c r="E13" i="19"/>
  <c r="E14" i="19"/>
  <c r="E15" i="19"/>
  <c r="E16" i="19"/>
  <c r="E17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5" i="19"/>
  <c r="D5" i="76" l="1"/>
  <c r="H73" i="76" l="1"/>
  <c r="I73" i="76" s="1"/>
  <c r="F73" i="76"/>
  <c r="I11" i="76"/>
  <c r="H13" i="76"/>
  <c r="I13" i="76" s="1"/>
  <c r="H18" i="76"/>
  <c r="I18" i="76" s="1"/>
  <c r="H19" i="76"/>
  <c r="I19" i="76" s="1"/>
  <c r="H20" i="76"/>
  <c r="I20" i="76" s="1"/>
  <c r="H25" i="76"/>
  <c r="I25" i="76" s="1"/>
  <c r="H26" i="76"/>
  <c r="I26" i="76" s="1"/>
  <c r="H27" i="76"/>
  <c r="I27" i="76" s="1"/>
  <c r="H31" i="76"/>
  <c r="I31" i="76" s="1"/>
  <c r="H32" i="76"/>
  <c r="I32" i="76" s="1"/>
  <c r="H33" i="76"/>
  <c r="I33" i="76" s="1"/>
  <c r="H37" i="76"/>
  <c r="I37" i="76" s="1"/>
  <c r="H38" i="76"/>
  <c r="I38" i="76" s="1"/>
  <c r="H39" i="76"/>
  <c r="I39" i="76" s="1"/>
  <c r="H43" i="76"/>
  <c r="I43" i="76" s="1"/>
  <c r="H44" i="76"/>
  <c r="I44" i="76" s="1"/>
  <c r="H45" i="76"/>
  <c r="I45" i="76" s="1"/>
  <c r="H49" i="76"/>
  <c r="I49" i="76" s="1"/>
  <c r="H50" i="76"/>
  <c r="I50" i="76" s="1"/>
  <c r="H51" i="76"/>
  <c r="I51" i="76" s="1"/>
  <c r="H55" i="76"/>
  <c r="I55" i="76" s="1"/>
  <c r="H56" i="76"/>
  <c r="I56" i="76" s="1"/>
  <c r="H57" i="76"/>
  <c r="I57" i="76" s="1"/>
  <c r="H61" i="76"/>
  <c r="I61" i="76" s="1"/>
  <c r="H62" i="76"/>
  <c r="I62" i="76" s="1"/>
  <c r="H63" i="76"/>
  <c r="I63" i="76" s="1"/>
  <c r="H67" i="76"/>
  <c r="I67" i="76" s="1"/>
  <c r="H68" i="76"/>
  <c r="I68" i="76" s="1"/>
  <c r="H69" i="76"/>
  <c r="I69" i="76" s="1"/>
  <c r="F14" i="77" l="1"/>
  <c r="F11" i="77"/>
  <c r="H10" i="76"/>
  <c r="I10" i="76" s="1"/>
  <c r="F53" i="76"/>
  <c r="H53" i="76"/>
  <c r="I53" i="76" s="1"/>
  <c r="F72" i="76"/>
  <c r="H72" i="76"/>
  <c r="I72" i="76" s="1"/>
  <c r="F64" i="76"/>
  <c r="H64" i="76"/>
  <c r="I64" i="76" s="1"/>
  <c r="F60" i="76"/>
  <c r="H60" i="76"/>
  <c r="I60" i="76" s="1"/>
  <c r="F52" i="76"/>
  <c r="H52" i="76"/>
  <c r="I52" i="76" s="1"/>
  <c r="F48" i="76"/>
  <c r="H48" i="76"/>
  <c r="I48" i="76" s="1"/>
  <c r="F40" i="76"/>
  <c r="H40" i="76"/>
  <c r="I40" i="76" s="1"/>
  <c r="F36" i="76"/>
  <c r="H36" i="76"/>
  <c r="I36" i="76" s="1"/>
  <c r="F28" i="76"/>
  <c r="H28" i="76"/>
  <c r="I28" i="76" s="1"/>
  <c r="F24" i="76"/>
  <c r="H24" i="76"/>
  <c r="I24" i="76" s="1"/>
  <c r="F14" i="76"/>
  <c r="H14" i="76"/>
  <c r="I14" i="76" s="1"/>
  <c r="F59" i="76"/>
  <c r="H59" i="76"/>
  <c r="I59" i="76" s="1"/>
  <c r="F47" i="76"/>
  <c r="H47" i="76"/>
  <c r="I47" i="76" s="1"/>
  <c r="F35" i="76"/>
  <c r="H35" i="76"/>
  <c r="I35" i="76" s="1"/>
  <c r="F22" i="76"/>
  <c r="H22" i="76"/>
  <c r="I22" i="76" s="1"/>
  <c r="F71" i="76"/>
  <c r="H71" i="76"/>
  <c r="I71" i="76" s="1"/>
  <c r="F70" i="76"/>
  <c r="H70" i="76"/>
  <c r="I70" i="76" s="1"/>
  <c r="F66" i="76"/>
  <c r="H66" i="76"/>
  <c r="I66" i="76" s="1"/>
  <c r="F58" i="76"/>
  <c r="H58" i="76"/>
  <c r="I58" i="76" s="1"/>
  <c r="F54" i="76"/>
  <c r="H54" i="76"/>
  <c r="I54" i="76" s="1"/>
  <c r="F46" i="76"/>
  <c r="H46" i="76"/>
  <c r="I46" i="76" s="1"/>
  <c r="F42" i="76"/>
  <c r="H42" i="76"/>
  <c r="I42" i="76" s="1"/>
  <c r="F34" i="76"/>
  <c r="H34" i="76"/>
  <c r="I34" i="76" s="1"/>
  <c r="F30" i="76"/>
  <c r="H30" i="76"/>
  <c r="I30" i="76" s="1"/>
  <c r="F21" i="76"/>
  <c r="H21" i="76"/>
  <c r="I21" i="76" s="1"/>
  <c r="F17" i="76"/>
  <c r="H17" i="76"/>
  <c r="I17" i="76" s="1"/>
  <c r="F65" i="76"/>
  <c r="H65" i="76"/>
  <c r="I65" i="76" s="1"/>
  <c r="F41" i="76"/>
  <c r="H41" i="76"/>
  <c r="I41" i="76" s="1"/>
  <c r="F29" i="76"/>
  <c r="H29" i="76"/>
  <c r="I29" i="76" s="1"/>
  <c r="F15" i="76"/>
  <c r="H15" i="76"/>
  <c r="I15" i="76" s="1"/>
  <c r="F67" i="77"/>
  <c r="F55" i="77"/>
  <c r="F45" i="77"/>
  <c r="F35" i="77"/>
  <c r="F18" i="77"/>
  <c r="F70" i="77"/>
  <c r="F66" i="77"/>
  <c r="F60" i="77"/>
  <c r="F54" i="77"/>
  <c r="F50" i="77"/>
  <c r="F44" i="77"/>
  <c r="F38" i="77"/>
  <c r="F34" i="77"/>
  <c r="F28" i="77"/>
  <c r="F21" i="77"/>
  <c r="F16" i="77"/>
  <c r="F74" i="77"/>
  <c r="F68" i="77"/>
  <c r="F62" i="77"/>
  <c r="F58" i="77"/>
  <c r="F52" i="77"/>
  <c r="F46" i="77"/>
  <c r="F42" i="77"/>
  <c r="F36" i="77"/>
  <c r="F30" i="77"/>
  <c r="F26" i="77"/>
  <c r="F19" i="77"/>
  <c r="F71" i="77"/>
  <c r="F61" i="77"/>
  <c r="F51" i="77"/>
  <c r="F39" i="77"/>
  <c r="F29" i="77"/>
  <c r="F22" i="77"/>
  <c r="F69" i="77"/>
  <c r="F63" i="77"/>
  <c r="F59" i="77"/>
  <c r="F53" i="77"/>
  <c r="F47" i="77"/>
  <c r="F43" i="77"/>
  <c r="F37" i="77"/>
  <c r="F31" i="77"/>
  <c r="F27" i="77"/>
  <c r="F20" i="77"/>
  <c r="F12" i="77"/>
  <c r="F73" i="77"/>
  <c r="F65" i="77"/>
  <c r="F57" i="77"/>
  <c r="F49" i="77"/>
  <c r="F41" i="77"/>
  <c r="F33" i="77"/>
  <c r="F25" i="77"/>
  <c r="F15" i="77"/>
  <c r="F72" i="77"/>
  <c r="F64" i="77"/>
  <c r="F56" i="77"/>
  <c r="F48" i="77"/>
  <c r="F40" i="77"/>
  <c r="F32" i="77"/>
  <c r="F23" i="77"/>
  <c r="F49" i="76"/>
  <c r="F31" i="76"/>
  <c r="F55" i="76"/>
  <c r="F11" i="76"/>
  <c r="F19" i="76"/>
  <c r="F26" i="76"/>
  <c r="F32" i="76"/>
  <c r="F38" i="76"/>
  <c r="F44" i="76"/>
  <c r="F50" i="76"/>
  <c r="F56" i="76"/>
  <c r="F62" i="76"/>
  <c r="F68" i="76"/>
  <c r="F10" i="76"/>
  <c r="F67" i="76"/>
  <c r="F25" i="76"/>
  <c r="F43" i="76"/>
  <c r="F61" i="76"/>
  <c r="F13" i="76"/>
  <c r="F20" i="76"/>
  <c r="F27" i="76"/>
  <c r="F33" i="76"/>
  <c r="F39" i="76"/>
  <c r="F45" i="76"/>
  <c r="F51" i="76"/>
  <c r="F57" i="76"/>
  <c r="F63" i="76"/>
  <c r="F69" i="76"/>
  <c r="F18" i="76"/>
  <c r="F37" i="76"/>
  <c r="E10" i="22"/>
  <c r="F10" i="22" s="1"/>
  <c r="D78" i="22" l="1"/>
  <c r="G10" i="22"/>
  <c r="E12" i="42"/>
  <c r="G12" i="42" s="1"/>
  <c r="E37" i="42" l="1"/>
  <c r="G37" i="42" s="1"/>
  <c r="E13" i="42"/>
  <c r="D4" i="17"/>
  <c r="D3" i="17"/>
  <c r="G40" i="42" l="1"/>
  <c r="G39" i="42"/>
  <c r="H7" i="60" l="1"/>
  <c r="I7" i="60" s="1"/>
  <c r="E4" i="59"/>
  <c r="C8" i="18"/>
  <c r="E8" i="18" s="1"/>
  <c r="G11" i="43" l="1"/>
  <c r="H11" i="43" s="1"/>
  <c r="G70" i="60" l="1"/>
  <c r="H70" i="60" s="1"/>
  <c r="I70" i="60" s="1"/>
  <c r="G69" i="60"/>
  <c r="H69" i="60" s="1"/>
  <c r="I69" i="60" s="1"/>
  <c r="G68" i="60"/>
  <c r="H68" i="60" s="1"/>
  <c r="I68" i="60" s="1"/>
  <c r="G67" i="60"/>
  <c r="H67" i="60" s="1"/>
  <c r="I67" i="60" s="1"/>
  <c r="G66" i="60"/>
  <c r="H66" i="60" s="1"/>
  <c r="I66" i="60" s="1"/>
  <c r="G65" i="60"/>
  <c r="H65" i="60" s="1"/>
  <c r="I65" i="60" s="1"/>
  <c r="G64" i="60"/>
  <c r="H64" i="60" s="1"/>
  <c r="I64" i="60" s="1"/>
  <c r="G63" i="60"/>
  <c r="H63" i="60" s="1"/>
  <c r="I63" i="60" s="1"/>
  <c r="G62" i="60"/>
  <c r="H62" i="60" s="1"/>
  <c r="I62" i="60" s="1"/>
  <c r="G61" i="60"/>
  <c r="H61" i="60" s="1"/>
  <c r="I61" i="60" s="1"/>
  <c r="G60" i="60"/>
  <c r="H60" i="60" s="1"/>
  <c r="I60" i="60" s="1"/>
  <c r="G59" i="60"/>
  <c r="H59" i="60" s="1"/>
  <c r="I59" i="60" s="1"/>
  <c r="G58" i="60"/>
  <c r="H58" i="60" s="1"/>
  <c r="I58" i="60" s="1"/>
  <c r="G57" i="60"/>
  <c r="H57" i="60" s="1"/>
  <c r="I57" i="60" s="1"/>
  <c r="G56" i="60"/>
  <c r="H56" i="60" s="1"/>
  <c r="I56" i="60" s="1"/>
  <c r="G55" i="60"/>
  <c r="H55" i="60" s="1"/>
  <c r="I55" i="60" s="1"/>
  <c r="G54" i="60"/>
  <c r="H54" i="60" s="1"/>
  <c r="I54" i="60" s="1"/>
  <c r="G53" i="60"/>
  <c r="H53" i="60" s="1"/>
  <c r="I53" i="60" s="1"/>
  <c r="G52" i="60"/>
  <c r="H52" i="60" s="1"/>
  <c r="I52" i="60" s="1"/>
  <c r="G51" i="60"/>
  <c r="H51" i="60" s="1"/>
  <c r="I51" i="60" s="1"/>
  <c r="G50" i="60"/>
  <c r="H50" i="60" s="1"/>
  <c r="I50" i="60" s="1"/>
  <c r="G49" i="60"/>
  <c r="H49" i="60" s="1"/>
  <c r="I49" i="60" s="1"/>
  <c r="G48" i="60"/>
  <c r="H48" i="60" s="1"/>
  <c r="I48" i="60" s="1"/>
  <c r="G47" i="60"/>
  <c r="H47" i="60" s="1"/>
  <c r="I47" i="60" s="1"/>
  <c r="G46" i="60"/>
  <c r="H46" i="60" s="1"/>
  <c r="I46" i="60" s="1"/>
  <c r="G45" i="60"/>
  <c r="H45" i="60" s="1"/>
  <c r="I45" i="60" s="1"/>
  <c r="G44" i="60"/>
  <c r="H44" i="60" s="1"/>
  <c r="I44" i="60" s="1"/>
  <c r="G43" i="60"/>
  <c r="H43" i="60" s="1"/>
  <c r="I43" i="60" s="1"/>
  <c r="G42" i="60"/>
  <c r="H42" i="60" s="1"/>
  <c r="I42" i="60" s="1"/>
  <c r="G41" i="60"/>
  <c r="H41" i="60" s="1"/>
  <c r="I41" i="60" s="1"/>
  <c r="G40" i="60"/>
  <c r="H40" i="60" s="1"/>
  <c r="I40" i="60" s="1"/>
  <c r="G39" i="60"/>
  <c r="H39" i="60" s="1"/>
  <c r="I39" i="60" s="1"/>
  <c r="G38" i="60"/>
  <c r="H38" i="60" s="1"/>
  <c r="I38" i="60" s="1"/>
  <c r="G37" i="60"/>
  <c r="H37" i="60" s="1"/>
  <c r="I37" i="60" s="1"/>
  <c r="G36" i="60"/>
  <c r="H36" i="60" s="1"/>
  <c r="I36" i="60" s="1"/>
  <c r="G35" i="60"/>
  <c r="H35" i="60" s="1"/>
  <c r="I35" i="60" s="1"/>
  <c r="G34" i="60"/>
  <c r="H34" i="60" s="1"/>
  <c r="I34" i="60" s="1"/>
  <c r="G33" i="60"/>
  <c r="H33" i="60" s="1"/>
  <c r="I33" i="60" s="1"/>
  <c r="G32" i="60"/>
  <c r="H32" i="60" s="1"/>
  <c r="I32" i="60" s="1"/>
  <c r="G31" i="60"/>
  <c r="H31" i="60" s="1"/>
  <c r="I31" i="60" s="1"/>
  <c r="G30" i="60"/>
  <c r="H30" i="60" s="1"/>
  <c r="I30" i="60" s="1"/>
  <c r="G29" i="60"/>
  <c r="H29" i="60" s="1"/>
  <c r="I29" i="60" s="1"/>
  <c r="G28" i="60"/>
  <c r="H28" i="60" s="1"/>
  <c r="I28" i="60" s="1"/>
  <c r="G27" i="60"/>
  <c r="H27" i="60" s="1"/>
  <c r="I27" i="60" s="1"/>
  <c r="G26" i="60"/>
  <c r="H26" i="60" s="1"/>
  <c r="I26" i="60" s="1"/>
  <c r="G25" i="60"/>
  <c r="H25" i="60" s="1"/>
  <c r="I25" i="60" s="1"/>
  <c r="G24" i="60"/>
  <c r="H24" i="60" s="1"/>
  <c r="I24" i="60" s="1"/>
  <c r="G23" i="60"/>
  <c r="H23" i="60" s="1"/>
  <c r="I23" i="60" s="1"/>
  <c r="G22" i="60"/>
  <c r="H22" i="60" s="1"/>
  <c r="I22" i="60" s="1"/>
  <c r="G21" i="60"/>
  <c r="H21" i="60" s="1"/>
  <c r="I21" i="60" s="1"/>
  <c r="G19" i="60"/>
  <c r="H19" i="60" s="1"/>
  <c r="I19" i="60" s="1"/>
  <c r="G18" i="60"/>
  <c r="H18" i="60" s="1"/>
  <c r="I18" i="60" s="1"/>
  <c r="G17" i="60"/>
  <c r="H17" i="60" s="1"/>
  <c r="I17" i="60" s="1"/>
  <c r="G16" i="60"/>
  <c r="H16" i="60" s="1"/>
  <c r="I16" i="60" s="1"/>
  <c r="G15" i="60"/>
  <c r="H15" i="60" s="1"/>
  <c r="I15" i="60" s="1"/>
  <c r="G14" i="60"/>
  <c r="H14" i="60" s="1"/>
  <c r="I14" i="60" s="1"/>
  <c r="G12" i="60"/>
  <c r="H12" i="60" s="1"/>
  <c r="I12" i="60" s="1"/>
  <c r="G11" i="60"/>
  <c r="H11" i="60" s="1"/>
  <c r="I11" i="60" s="1"/>
  <c r="G10" i="60"/>
  <c r="H10" i="60" s="1"/>
  <c r="I10" i="60" s="1"/>
  <c r="G8" i="60"/>
  <c r="H8" i="60" s="1"/>
  <c r="I8" i="60" s="1"/>
  <c r="E67" i="59" l="1"/>
  <c r="E66" i="59"/>
  <c r="E65" i="59"/>
  <c r="E64" i="59"/>
  <c r="E63" i="59"/>
  <c r="E62" i="59"/>
  <c r="E61" i="59"/>
  <c r="E60" i="59"/>
  <c r="E59" i="59"/>
  <c r="E58" i="59"/>
  <c r="E57" i="59"/>
  <c r="E56" i="59"/>
  <c r="E55" i="59"/>
  <c r="E54" i="59"/>
  <c r="E53" i="59"/>
  <c r="E52" i="59"/>
  <c r="E51" i="59"/>
  <c r="E50" i="59"/>
  <c r="E49" i="59"/>
  <c r="E48" i="59"/>
  <c r="E47" i="59"/>
  <c r="E46" i="59"/>
  <c r="E45" i="59"/>
  <c r="E44" i="59"/>
  <c r="E43" i="59"/>
  <c r="E42" i="59"/>
  <c r="E41" i="59"/>
  <c r="E40" i="59"/>
  <c r="E39" i="59"/>
  <c r="E38" i="59"/>
  <c r="E37" i="59"/>
  <c r="E36" i="59"/>
  <c r="E35" i="59"/>
  <c r="E34" i="59"/>
  <c r="E33" i="59"/>
  <c r="E32" i="59"/>
  <c r="E31" i="59"/>
  <c r="E30" i="59"/>
  <c r="E29" i="59"/>
  <c r="E28" i="59"/>
  <c r="E27" i="59"/>
  <c r="E26" i="59"/>
  <c r="E25" i="59"/>
  <c r="E24" i="59"/>
  <c r="E23" i="59"/>
  <c r="E22" i="59"/>
  <c r="E21" i="59"/>
  <c r="E20" i="59"/>
  <c r="E19" i="59"/>
  <c r="E18" i="59"/>
  <c r="E16" i="59"/>
  <c r="E15" i="59"/>
  <c r="E14" i="59"/>
  <c r="E13" i="59"/>
  <c r="E12" i="59"/>
  <c r="E11" i="59"/>
  <c r="E9" i="59"/>
  <c r="E8" i="59"/>
  <c r="E7" i="59"/>
  <c r="E5" i="59"/>
  <c r="E11" i="22" l="1"/>
  <c r="G5" i="43" l="1"/>
  <c r="H10" i="43"/>
  <c r="G6" i="43"/>
  <c r="G4" i="43"/>
  <c r="F74" i="43" l="1"/>
  <c r="G74" i="43" s="1"/>
  <c r="H74" i="43" s="1"/>
  <c r="F40" i="43"/>
  <c r="F48" i="43"/>
  <c r="F56" i="43"/>
  <c r="F64" i="43"/>
  <c r="F72" i="43"/>
  <c r="F41" i="43"/>
  <c r="F49" i="43"/>
  <c r="F57" i="43"/>
  <c r="F65" i="43"/>
  <c r="F73" i="43"/>
  <c r="F43" i="43"/>
  <c r="F59" i="43"/>
  <c r="F52" i="43"/>
  <c r="F68" i="43"/>
  <c r="F71" i="43"/>
  <c r="F42" i="43"/>
  <c r="F50" i="43"/>
  <c r="F58" i="43"/>
  <c r="F66" i="43"/>
  <c r="F39" i="43"/>
  <c r="F51" i="43"/>
  <c r="F67" i="43"/>
  <c r="F44" i="43"/>
  <c r="F60" i="43"/>
  <c r="F47" i="43"/>
  <c r="F63" i="43"/>
  <c r="F45" i="43"/>
  <c r="F53" i="43"/>
  <c r="F61" i="43"/>
  <c r="F69" i="43"/>
  <c r="F46" i="43"/>
  <c r="F54" i="43"/>
  <c r="F62" i="43"/>
  <c r="F70" i="43"/>
  <c r="F55" i="43"/>
  <c r="G36" i="43"/>
  <c r="H36" i="43" s="1"/>
  <c r="G34" i="43"/>
  <c r="H34" i="43" s="1"/>
  <c r="G15" i="43"/>
  <c r="H15" i="43" s="1"/>
  <c r="G37" i="43"/>
  <c r="H37" i="43" s="1"/>
  <c r="G35" i="43"/>
  <c r="H35" i="43" s="1"/>
  <c r="G33" i="43"/>
  <c r="H33" i="43" s="1"/>
  <c r="G19" i="43"/>
  <c r="H19" i="43" s="1"/>
  <c r="G17" i="43"/>
  <c r="H17" i="43" s="1"/>
  <c r="G14" i="43"/>
  <c r="H14" i="43" s="1"/>
  <c r="G24" i="43"/>
  <c r="H24" i="43" s="1"/>
  <c r="G21" i="43"/>
  <c r="H21" i="43" s="1"/>
  <c r="G32" i="43"/>
  <c r="H32" i="43" s="1"/>
  <c r="G18" i="43"/>
  <c r="H18" i="43" s="1"/>
  <c r="G13" i="43"/>
  <c r="H13" i="43" s="1"/>
  <c r="G25" i="43"/>
  <c r="H25" i="43" s="1"/>
  <c r="G22" i="43"/>
  <c r="H22" i="43" s="1"/>
  <c r="G20" i="43"/>
  <c r="H20" i="43" s="1"/>
  <c r="G31" i="43"/>
  <c r="H31" i="43" s="1"/>
  <c r="G30" i="43"/>
  <c r="H30" i="43" s="1"/>
  <c r="G29" i="43"/>
  <c r="H29" i="43" s="1"/>
  <c r="G28" i="43"/>
  <c r="H28" i="43" s="1"/>
  <c r="G27" i="43"/>
  <c r="H27" i="43" s="1"/>
  <c r="G38" i="43"/>
  <c r="H38" i="43" s="1"/>
  <c r="G26" i="43"/>
  <c r="H26" i="43" s="1"/>
  <c r="G70" i="43" l="1"/>
  <c r="H70" i="43" s="1"/>
  <c r="G59" i="43"/>
  <c r="H59" i="43" s="1"/>
  <c r="G58" i="43"/>
  <c r="H58" i="43" s="1"/>
  <c r="G73" i="43"/>
  <c r="H73" i="43" s="1"/>
  <c r="G72" i="43"/>
  <c r="H72" i="43" s="1"/>
  <c r="G43" i="43"/>
  <c r="H43" i="43" s="1"/>
  <c r="G51" i="43"/>
  <c r="H51" i="43" s="1"/>
  <c r="G64" i="43"/>
  <c r="H64" i="43" s="1"/>
  <c r="G41" i="43"/>
  <c r="H41" i="43" s="1"/>
  <c r="G71" i="43"/>
  <c r="H71" i="43" s="1"/>
  <c r="G42" i="43"/>
  <c r="H42" i="43" s="1"/>
  <c r="G46" i="43"/>
  <c r="H46" i="43" s="1"/>
  <c r="G50" i="43"/>
  <c r="H50" i="43" s="1"/>
  <c r="G49" i="43"/>
  <c r="H49" i="43" s="1"/>
  <c r="G44" i="43"/>
  <c r="H44" i="43" s="1"/>
  <c r="G63" i="43"/>
  <c r="H63" i="43" s="1"/>
  <c r="G40" i="43"/>
  <c r="H40" i="43" s="1"/>
  <c r="G47" i="43"/>
  <c r="H47" i="43" s="1"/>
  <c r="G65" i="43"/>
  <c r="H65" i="43" s="1"/>
  <c r="G54" i="43"/>
  <c r="H54" i="43" s="1"/>
  <c r="G61" i="43"/>
  <c r="H61" i="43" s="1"/>
  <c r="G55" i="43"/>
  <c r="H55" i="43" s="1"/>
  <c r="G69" i="43"/>
  <c r="H69" i="43" s="1"/>
  <c r="G56" i="43"/>
  <c r="H56" i="43" s="1"/>
  <c r="G39" i="43"/>
  <c r="H39" i="43" s="1"/>
  <c r="G45" i="43"/>
  <c r="H45" i="43" s="1"/>
  <c r="G53" i="43"/>
  <c r="H53" i="43" s="1"/>
  <c r="G48" i="43"/>
  <c r="H48" i="43" s="1"/>
  <c r="G60" i="43"/>
  <c r="H60" i="43" s="1"/>
  <c r="G66" i="43"/>
  <c r="H66" i="43" s="1"/>
  <c r="G62" i="43"/>
  <c r="H62" i="43" s="1"/>
  <c r="G67" i="43"/>
  <c r="H67" i="43" s="1"/>
  <c r="G52" i="43"/>
  <c r="H52" i="43" s="1"/>
  <c r="G68" i="43"/>
  <c r="H68" i="43" s="1"/>
  <c r="G57" i="43"/>
  <c r="H57" i="43" s="1"/>
  <c r="E15" i="42"/>
  <c r="G15" i="42" s="1"/>
  <c r="E16" i="42"/>
  <c r="G16" i="42" s="1"/>
  <c r="E17" i="42"/>
  <c r="G17" i="42" s="1"/>
  <c r="E19" i="42"/>
  <c r="G19" i="42" s="1"/>
  <c r="E20" i="42"/>
  <c r="G20" i="42" s="1"/>
  <c r="E21" i="42"/>
  <c r="G21" i="42" s="1"/>
  <c r="E22" i="42"/>
  <c r="G22" i="42" s="1"/>
  <c r="E23" i="42"/>
  <c r="G23" i="42" s="1"/>
  <c r="E26" i="42"/>
  <c r="G26" i="42" s="1"/>
  <c r="E27" i="42"/>
  <c r="G27" i="42" s="1"/>
  <c r="E28" i="42"/>
  <c r="G28" i="42" s="1"/>
  <c r="E29" i="42"/>
  <c r="G29" i="42" s="1"/>
  <c r="E30" i="42"/>
  <c r="G30" i="42" s="1"/>
  <c r="E31" i="42"/>
  <c r="G31" i="42" s="1"/>
  <c r="E32" i="42"/>
  <c r="G32" i="42" s="1"/>
  <c r="E33" i="42"/>
  <c r="G33" i="42" s="1"/>
  <c r="E34" i="42"/>
  <c r="G34" i="42" s="1"/>
  <c r="E35" i="42"/>
  <c r="G35" i="42" s="1"/>
  <c r="E36" i="42"/>
  <c r="G36" i="42" s="1"/>
  <c r="G13" i="42"/>
  <c r="G49" i="42" l="1"/>
  <c r="G38" i="42"/>
  <c r="G64" i="42"/>
  <c r="G65" i="42"/>
  <c r="G60" i="42"/>
  <c r="G61" i="42"/>
  <c r="G56" i="42"/>
  <c r="G41" i="42"/>
  <c r="G73" i="42"/>
  <c r="G72" i="42"/>
  <c r="G48" i="42"/>
  <c r="G69" i="42"/>
  <c r="G45" i="42"/>
  <c r="G57" i="42"/>
  <c r="G53" i="42"/>
  <c r="G52" i="42"/>
  <c r="G68" i="42"/>
  <c r="G44" i="42"/>
  <c r="G75" i="42"/>
  <c r="G71" i="42"/>
  <c r="G67" i="42"/>
  <c r="G63" i="42"/>
  <c r="G59" i="42"/>
  <c r="G55" i="42"/>
  <c r="G51" i="42"/>
  <c r="G47" i="42"/>
  <c r="G43" i="42"/>
  <c r="G74" i="42"/>
  <c r="G70" i="42"/>
  <c r="G66" i="42"/>
  <c r="G62" i="42"/>
  <c r="G58" i="42"/>
  <c r="G54" i="42"/>
  <c r="G50" i="42"/>
  <c r="G46" i="42"/>
  <c r="G42" i="42"/>
  <c r="E13" i="22" l="1"/>
  <c r="F13" i="22" s="1"/>
  <c r="E14" i="22"/>
  <c r="F14" i="22" s="1"/>
  <c r="E15" i="22"/>
  <c r="F15" i="22" s="1"/>
  <c r="E17" i="22"/>
  <c r="F17" i="22" s="1"/>
  <c r="E18" i="22"/>
  <c r="F18" i="22" s="1"/>
  <c r="E19" i="22"/>
  <c r="F19" i="22" s="1"/>
  <c r="E20" i="22"/>
  <c r="F20" i="22" s="1"/>
  <c r="E21" i="22"/>
  <c r="F21" i="22" s="1"/>
  <c r="E22" i="22"/>
  <c r="F22" i="22" s="1"/>
  <c r="E24" i="22"/>
  <c r="F24" i="22" s="1"/>
  <c r="E25" i="22"/>
  <c r="F25" i="22" s="1"/>
  <c r="E26" i="22"/>
  <c r="F26" i="22" s="1"/>
  <c r="E27" i="22"/>
  <c r="F27" i="22" s="1"/>
  <c r="E28" i="22"/>
  <c r="F28" i="22" s="1"/>
  <c r="E29" i="22"/>
  <c r="F29" i="22" s="1"/>
  <c r="E30" i="22"/>
  <c r="F30" i="22" s="1"/>
  <c r="E31" i="22"/>
  <c r="F31" i="22" s="1"/>
  <c r="E32" i="22"/>
  <c r="F32" i="22" s="1"/>
  <c r="E33" i="22"/>
  <c r="F33" i="22" s="1"/>
  <c r="E34" i="22"/>
  <c r="F34" i="22" s="1"/>
  <c r="E35" i="22"/>
  <c r="F35" i="22" s="1"/>
  <c r="E36" i="22"/>
  <c r="F36" i="22" s="1"/>
  <c r="E37" i="22"/>
  <c r="F37" i="22" s="1"/>
  <c r="E38" i="22"/>
  <c r="F38" i="22" s="1"/>
  <c r="E39" i="22"/>
  <c r="F39" i="22" s="1"/>
  <c r="E40" i="22"/>
  <c r="F40" i="22" s="1"/>
  <c r="E41" i="22"/>
  <c r="F41" i="22" s="1"/>
  <c r="E42" i="22"/>
  <c r="F42" i="22" s="1"/>
  <c r="E43" i="22"/>
  <c r="F43" i="22" s="1"/>
  <c r="E44" i="22"/>
  <c r="F44" i="22" s="1"/>
  <c r="E45" i="22"/>
  <c r="F45" i="22" s="1"/>
  <c r="E46" i="22"/>
  <c r="F46" i="22" s="1"/>
  <c r="E47" i="22"/>
  <c r="F47" i="22" s="1"/>
  <c r="E48" i="22"/>
  <c r="F48" i="22" s="1"/>
  <c r="E49" i="22"/>
  <c r="F49" i="22" s="1"/>
  <c r="E50" i="22"/>
  <c r="F50" i="22" s="1"/>
  <c r="E51" i="22"/>
  <c r="F51" i="22" s="1"/>
  <c r="E52" i="22"/>
  <c r="F52" i="22" s="1"/>
  <c r="E53" i="22"/>
  <c r="F53" i="22" s="1"/>
  <c r="E54" i="22"/>
  <c r="F54" i="22" s="1"/>
  <c r="E55" i="22"/>
  <c r="F55" i="22" s="1"/>
  <c r="E56" i="22"/>
  <c r="F56" i="22" s="1"/>
  <c r="E57" i="22"/>
  <c r="F57" i="22" s="1"/>
  <c r="E58" i="22"/>
  <c r="F58" i="22" s="1"/>
  <c r="E59" i="22"/>
  <c r="F59" i="22" s="1"/>
  <c r="E60" i="22"/>
  <c r="F60" i="22" s="1"/>
  <c r="E61" i="22"/>
  <c r="F61" i="22" s="1"/>
  <c r="E62" i="22"/>
  <c r="F62" i="22" s="1"/>
  <c r="E63" i="22"/>
  <c r="F63" i="22" s="1"/>
  <c r="E64" i="22"/>
  <c r="F64" i="22" s="1"/>
  <c r="E65" i="22"/>
  <c r="F65" i="22" s="1"/>
  <c r="E66" i="22"/>
  <c r="F66" i="22" s="1"/>
  <c r="E67" i="22"/>
  <c r="F67" i="22" s="1"/>
  <c r="E68" i="22"/>
  <c r="F68" i="22" s="1"/>
  <c r="E69" i="22"/>
  <c r="F69" i="22" s="1"/>
  <c r="E70" i="22"/>
  <c r="F70" i="22" s="1"/>
  <c r="E71" i="22"/>
  <c r="F71" i="22" s="1"/>
  <c r="E72" i="22"/>
  <c r="F72" i="22" s="1"/>
  <c r="E73" i="22"/>
  <c r="F73" i="22" s="1"/>
  <c r="F11" i="22"/>
  <c r="G73" i="22" l="1"/>
  <c r="G21" i="22"/>
  <c r="D87" i="22"/>
  <c r="G33" i="22"/>
  <c r="D98" i="22"/>
  <c r="G68" i="22"/>
  <c r="D133" i="22"/>
  <c r="G56" i="22"/>
  <c r="D121" i="22"/>
  <c r="G44" i="22"/>
  <c r="D109" i="22"/>
  <c r="G32" i="22"/>
  <c r="D97" i="22"/>
  <c r="G19" i="22"/>
  <c r="D85" i="22"/>
  <c r="G67" i="22"/>
  <c r="D132" i="22"/>
  <c r="G55" i="22"/>
  <c r="D120" i="22"/>
  <c r="G43" i="22"/>
  <c r="D108" i="22"/>
  <c r="G31" i="22"/>
  <c r="D96" i="22"/>
  <c r="G18" i="22"/>
  <c r="D84" i="22"/>
  <c r="G66" i="22"/>
  <c r="D131" i="22"/>
  <c r="G54" i="22"/>
  <c r="D119" i="22"/>
  <c r="G42" i="22"/>
  <c r="D107" i="22"/>
  <c r="G30" i="22"/>
  <c r="D95" i="22"/>
  <c r="G17" i="22"/>
  <c r="D83" i="22"/>
  <c r="G58" i="22"/>
  <c r="D123" i="22"/>
  <c r="G57" i="22"/>
  <c r="D122" i="22"/>
  <c r="G53" i="22"/>
  <c r="D118" i="22"/>
  <c r="G40" i="22"/>
  <c r="D105" i="22"/>
  <c r="G51" i="22"/>
  <c r="D116" i="22"/>
  <c r="G26" i="22"/>
  <c r="D91" i="22"/>
  <c r="G34" i="22"/>
  <c r="D99" i="22"/>
  <c r="G20" i="22"/>
  <c r="D86" i="22"/>
  <c r="G65" i="22"/>
  <c r="D130" i="22"/>
  <c r="G15" i="22"/>
  <c r="D82" i="22"/>
  <c r="G52" i="22"/>
  <c r="D117" i="22"/>
  <c r="G13" i="22"/>
  <c r="D80" i="22"/>
  <c r="G62" i="22"/>
  <c r="D127" i="22"/>
  <c r="G61" i="22"/>
  <c r="D126" i="22"/>
  <c r="G49" i="22"/>
  <c r="D114" i="22"/>
  <c r="G37" i="22"/>
  <c r="D102" i="22"/>
  <c r="G25" i="22"/>
  <c r="D90" i="22"/>
  <c r="G70" i="22"/>
  <c r="D135" i="22"/>
  <c r="G45" i="22"/>
  <c r="D110" i="22"/>
  <c r="G29" i="22"/>
  <c r="D94" i="22"/>
  <c r="G64" i="22"/>
  <c r="D129" i="22"/>
  <c r="G14" i="22"/>
  <c r="D81" i="22"/>
  <c r="G39" i="22"/>
  <c r="D104" i="22"/>
  <c r="G38" i="22"/>
  <c r="D103" i="22"/>
  <c r="G72" i="22"/>
  <c r="D137" i="22"/>
  <c r="G60" i="22"/>
  <c r="D125" i="22"/>
  <c r="G48" i="22"/>
  <c r="D113" i="22"/>
  <c r="G36" i="22"/>
  <c r="D101" i="22"/>
  <c r="G24" i="22"/>
  <c r="D89" i="22"/>
  <c r="G46" i="22"/>
  <c r="D111" i="22"/>
  <c r="G69" i="22"/>
  <c r="D134" i="22"/>
  <c r="G41" i="22"/>
  <c r="D106" i="22"/>
  <c r="G28" i="22"/>
  <c r="D93" i="22"/>
  <c r="G63" i="22"/>
  <c r="D128" i="22"/>
  <c r="G27" i="22"/>
  <c r="D92" i="22"/>
  <c r="G11" i="22"/>
  <c r="D79" i="22"/>
  <c r="G50" i="22"/>
  <c r="D115" i="22"/>
  <c r="G71" i="22"/>
  <c r="D136" i="22"/>
  <c r="G59" i="22"/>
  <c r="D124" i="22"/>
  <c r="G47" i="22"/>
  <c r="D112" i="22"/>
  <c r="G35" i="22"/>
  <c r="D100" i="22"/>
  <c r="G22" i="22"/>
  <c r="D88" i="22"/>
  <c r="C19" i="18"/>
  <c r="E19" i="18" s="1"/>
  <c r="C20" i="18"/>
  <c r="E20" i="18" s="1"/>
  <c r="C22" i="18"/>
  <c r="E22" i="18" s="1"/>
  <c r="C23" i="18"/>
  <c r="E23" i="18" s="1"/>
  <c r="C24" i="18"/>
  <c r="E24" i="18" s="1"/>
  <c r="C25" i="18"/>
  <c r="E25" i="18" s="1"/>
  <c r="C26" i="18"/>
  <c r="E26" i="18" s="1"/>
  <c r="C27" i="18"/>
  <c r="E27" i="18" s="1"/>
  <c r="C28" i="18"/>
  <c r="E28" i="18" s="1"/>
  <c r="C29" i="18"/>
  <c r="E29" i="18" s="1"/>
  <c r="C30" i="18"/>
  <c r="E30" i="18" s="1"/>
  <c r="C31" i="18"/>
  <c r="E31" i="18" s="1"/>
  <c r="C32" i="18"/>
  <c r="E32" i="18" s="1"/>
  <c r="C33" i="18"/>
  <c r="E33" i="18" s="1"/>
  <c r="C34" i="18"/>
  <c r="E34" i="18" s="1"/>
  <c r="C35" i="18"/>
  <c r="E35" i="18" s="1"/>
  <c r="C36" i="18"/>
  <c r="E36" i="18" s="1"/>
  <c r="C37" i="18"/>
  <c r="E37" i="18" s="1"/>
  <c r="C38" i="18"/>
  <c r="E38" i="18" s="1"/>
  <c r="C39" i="18"/>
  <c r="E39" i="18" s="1"/>
  <c r="C40" i="18"/>
  <c r="E40" i="18" s="1"/>
  <c r="C41" i="18"/>
  <c r="E41" i="18" s="1"/>
  <c r="C42" i="18"/>
  <c r="E42" i="18" s="1"/>
  <c r="C43" i="18"/>
  <c r="E43" i="18" s="1"/>
  <c r="C44" i="18"/>
  <c r="E44" i="18" s="1"/>
  <c r="C45" i="18"/>
  <c r="E45" i="18" s="1"/>
  <c r="C46" i="18"/>
  <c r="E46" i="18" s="1"/>
  <c r="C47" i="18"/>
  <c r="E47" i="18" s="1"/>
  <c r="C48" i="18"/>
  <c r="E48" i="18" s="1"/>
  <c r="C49" i="18"/>
  <c r="E49" i="18" s="1"/>
  <c r="C50" i="18"/>
  <c r="E50" i="18" s="1"/>
  <c r="C51" i="18"/>
  <c r="E51" i="18" s="1"/>
  <c r="C52" i="18"/>
  <c r="E52" i="18" s="1"/>
  <c r="C53" i="18"/>
  <c r="E53" i="18" s="1"/>
  <c r="C54" i="18"/>
  <c r="E54" i="18" s="1"/>
  <c r="C55" i="18"/>
  <c r="E55" i="18" s="1"/>
  <c r="C56" i="18"/>
  <c r="E56" i="18" s="1"/>
  <c r="C57" i="18"/>
  <c r="E57" i="18" s="1"/>
  <c r="C58" i="18"/>
  <c r="E58" i="18" s="1"/>
  <c r="C59" i="18"/>
  <c r="E59" i="18" s="1"/>
  <c r="C60" i="18"/>
  <c r="E60" i="18" s="1"/>
  <c r="C61" i="18"/>
  <c r="E61" i="18" s="1"/>
  <c r="C62" i="18"/>
  <c r="E62" i="18" s="1"/>
  <c r="C63" i="18"/>
  <c r="E63" i="18" s="1"/>
  <c r="C64" i="18"/>
  <c r="E64" i="18" s="1"/>
  <c r="C65" i="18"/>
  <c r="E65" i="18" s="1"/>
  <c r="C66" i="18"/>
  <c r="E66" i="18" s="1"/>
  <c r="C67" i="18"/>
  <c r="E67" i="18" s="1"/>
  <c r="C68" i="18"/>
  <c r="E68" i="18" s="1"/>
  <c r="C69" i="18"/>
  <c r="E69" i="18" s="1"/>
  <c r="C70" i="18"/>
  <c r="E70" i="18" s="1"/>
  <c r="C71" i="18"/>
  <c r="E71" i="18" s="1"/>
  <c r="C11" i="18"/>
  <c r="E11" i="18" s="1"/>
  <c r="C12" i="18"/>
  <c r="E12" i="18" s="1"/>
  <c r="C13" i="18"/>
  <c r="E13" i="18" s="1"/>
  <c r="C15" i="18"/>
  <c r="E15" i="18" s="1"/>
  <c r="C16" i="18"/>
  <c r="E16" i="18" s="1"/>
  <c r="C17" i="18"/>
  <c r="E17" i="18" s="1"/>
  <c r="C18" i="18"/>
  <c r="E18" i="18" s="1"/>
  <c r="C9" i="18"/>
  <c r="E9" i="18" s="1"/>
</calcChain>
</file>

<file path=xl/sharedStrings.xml><?xml version="1.0" encoding="utf-8"?>
<sst xmlns="http://schemas.openxmlformats.org/spreadsheetml/2006/main" count="1812" uniqueCount="432">
  <si>
    <t>Eqn</t>
  </si>
  <si>
    <t>MBW</t>
  </si>
  <si>
    <t xml:space="preserve">EXP(-3.751 + 0.422 * LOG(MBH) + 0.515 * LOG(MBW)) </t>
  </si>
  <si>
    <t>Maximum height</t>
  </si>
  <si>
    <t xml:space="preserve">THETA </t>
  </si>
  <si>
    <t>Year; Timing parameter controlling the location of the adolescent growth spurt along the time axis</t>
  </si>
  <si>
    <t>S0</t>
  </si>
  <si>
    <t>Parameter controlling pre-pubertal growth velocity</t>
  </si>
  <si>
    <t>S1</t>
  </si>
  <si>
    <t>Parameter controlling pubertal growth velocity</t>
  </si>
  <si>
    <t>MBH</t>
  </si>
  <si>
    <t>MBSA</t>
  </si>
  <si>
    <t>m^2; BSA for an average person</t>
  </si>
  <si>
    <t>Final value for m file</t>
  </si>
  <si>
    <t xml:space="preserve">Body weight Calculations </t>
  </si>
  <si>
    <t>Age (years)</t>
  </si>
  <si>
    <t xml:space="preserve">Eqn </t>
  </si>
  <si>
    <t>MHT</t>
  </si>
  <si>
    <t>Calculated value (cm)</t>
  </si>
  <si>
    <t>Age (year)</t>
  </si>
  <si>
    <t>MVLiv</t>
  </si>
  <si>
    <t>MBW (kg)</t>
  </si>
  <si>
    <t>(1.0728 * MBSA - 0.3457) * MVLiv268 / (1.0728 * MBSA_268_303 - 0.3457)</t>
  </si>
  <si>
    <t>L; Fat volume for an average person</t>
  </si>
  <si>
    <t>MVFATADULT</t>
  </si>
  <si>
    <t>MBW25 * ((1.5334 * exp(-0.103 * 25.0) + 0.67) * MBMI25 + 0.6276 * 25.0 + 1.0301) / 100.0</t>
  </si>
  <si>
    <t>MPERFAT25A</t>
  </si>
  <si>
    <t>MPERFAT25B</t>
  </si>
  <si>
    <t>(1.5334 * exp(-0.103 * 25.0) + 0.67) * MBMI25 + 0.6276 * 25.0 + 1.0301</t>
  </si>
  <si>
    <t>%; Percent fat for an average person at age 25 using the equations for age &lt;= 25 years old</t>
  </si>
  <si>
    <t>%; Percent fat for an average person at age 25 using the equations for age &gt; 25 years old</t>
  </si>
  <si>
    <t xml:space="preserve">MBW / ((MBH / 100.0)**2.0)  </t>
  </si>
  <si>
    <t>BMI for an average person</t>
  </si>
  <si>
    <t xml:space="preserve">MBMI </t>
  </si>
  <si>
    <t>Brain</t>
  </si>
  <si>
    <t>Value (L)</t>
  </si>
  <si>
    <t>Year</t>
  </si>
  <si>
    <t>VBRN</t>
  </si>
  <si>
    <t>L; Brain volume</t>
  </si>
  <si>
    <t>MVPLAS</t>
  </si>
  <si>
    <t>MVPLASADULT</t>
  </si>
  <si>
    <t>Plasma volume for an average person at adult age</t>
  </si>
  <si>
    <t>Plasma volume for an average person</t>
  </si>
  <si>
    <t>HCT</t>
  </si>
  <si>
    <t>QCMIN</t>
  </si>
  <si>
    <t>QC_BSA * BSA * (1.0 + WSV_QCMIN)</t>
  </si>
  <si>
    <t>QC</t>
  </si>
  <si>
    <t>QCMIN * 60.0</t>
  </si>
  <si>
    <t>L/hr; Cardiac output</t>
  </si>
  <si>
    <t>L/min; Cardiac output</t>
  </si>
  <si>
    <t xml:space="preserve">QC * (1.0 - HTC)  </t>
  </si>
  <si>
    <t>QCP</t>
  </si>
  <si>
    <t xml:space="preserve">L/hr; Cardiac plasma output  </t>
  </si>
  <si>
    <t>QCMIN (L/min)</t>
  </si>
  <si>
    <t>QC (L/hr)</t>
  </si>
  <si>
    <t>QCP (L/hr)</t>
  </si>
  <si>
    <t>L/min/m^2; Constant to calculate Cardiac Output scaled by Body Surface Area</t>
  </si>
  <si>
    <t xml:space="preserve">CONSTANT     QC_BSA </t>
  </si>
  <si>
    <t>WSV_QCMIN</t>
  </si>
  <si>
    <t xml:space="preserve">L/min; Between subject variability on cardiac output: QCMIN </t>
  </si>
  <si>
    <t>Age (Year)</t>
  </si>
  <si>
    <t>The relationship between cardiac output and BSA was reported by Cowles et al. (1971)</t>
  </si>
  <si>
    <t>QFAT</t>
  </si>
  <si>
    <t>QFAT (L/hr)</t>
  </si>
  <si>
    <t xml:space="preserve">VFATC </t>
  </si>
  <si>
    <t>Value</t>
  </si>
  <si>
    <t>QBRNC</t>
  </si>
  <si>
    <t>QBRN</t>
  </si>
  <si>
    <t>VBRNC</t>
  </si>
  <si>
    <t>VFATC</t>
  </si>
  <si>
    <t>Calculate VLIVC</t>
  </si>
  <si>
    <t>VLivC</t>
  </si>
  <si>
    <t>Body Height (BH); Male</t>
  </si>
  <si>
    <t xml:space="preserve">0.05012 * MBW**0.78 </t>
  </si>
  <si>
    <t>MVFAT</t>
  </si>
  <si>
    <t>MBW * ((1.5334 * exp(-0.103 * YEARS) + 0.67) * MBMI + 0.6276 * YEARS + 1.0301) / 100.0</t>
  </si>
  <si>
    <t>MBMI</t>
  </si>
  <si>
    <t>MBW * (1.9224 * MBMI - 0.018517 * (MBMI**2.0) + 0.05537 * YEARS - 0.794894) * (MPERFAT25A / MPERFAT25B) / 100.0</t>
  </si>
  <si>
    <t>Equation</t>
  </si>
  <si>
    <t>Calculate MVLIV (L)</t>
  </si>
  <si>
    <t>QBRN (L/hr)</t>
  </si>
  <si>
    <t xml:space="preserve">BW (Kg) </t>
  </si>
  <si>
    <t>Life Stage Liver Volume (VLiv) determined by BW and BSA</t>
  </si>
  <si>
    <t>m^2; BSA for an average person at 268 (female) or 303 (male) months old</t>
  </si>
  <si>
    <t xml:space="preserve">H1; cm; </t>
  </si>
  <si>
    <t>MBSA_268_303</t>
  </si>
  <si>
    <t>MBWADULT</t>
  </si>
  <si>
    <t>L; Liver volume for an average person if ≤ 22Y</t>
  </si>
  <si>
    <t>L; Liver volume for an average person if &gt; 22Y</t>
  </si>
  <si>
    <t xml:space="preserve">cm, Mean height of all ages </t>
  </si>
  <si>
    <t>H1</t>
  </si>
  <si>
    <t xml:space="preserve">Mean values of S0, S1, θ, h1, hθ, C1, and D1 for males and females were estimated based on the median BH curve from NHANES 2003-2004 data.
</t>
  </si>
  <si>
    <t>cm; Maximum height of adult i.e 25Y</t>
  </si>
  <si>
    <t>0.05012 * MBW^0.78</t>
  </si>
  <si>
    <t>MVLiv268</t>
  </si>
  <si>
    <t>L; Liver volume at age 268 months for an average person</t>
  </si>
  <si>
    <t>0.05012 * MBWADULT**0.78</t>
  </si>
  <si>
    <t>1.9224 * MBMI25 - 0.018517 * (MBMI25^2.0) + 0.05537 * 25.0 - 0.794894</t>
  </si>
  <si>
    <t>Calculate VBRN (L)</t>
  </si>
  <si>
    <t>MBW (Kg)</t>
  </si>
  <si>
    <t>Variable</t>
  </si>
  <si>
    <t xml:space="preserve"> (VTisC/VTisCAdult)*QTisCAdult
</t>
  </si>
  <si>
    <t xml:space="preserve">VTisAdult/BWAdult
</t>
  </si>
  <si>
    <t>QLIV</t>
  </si>
  <si>
    <t>QFATC</t>
  </si>
  <si>
    <t>QFATC_Adult</t>
  </si>
  <si>
    <t>VFATC_Adult</t>
  </si>
  <si>
    <t>QLIVC_Adult</t>
  </si>
  <si>
    <t>VLIVC_Adult</t>
  </si>
  <si>
    <t xml:space="preserve">VFAT_Adult/BW_Adult
</t>
  </si>
  <si>
    <r>
      <t xml:space="preserve">Fractional male hepatic </t>
    </r>
    <r>
      <rPr>
        <b/>
        <u/>
        <sz val="12"/>
        <rFont val="Times New Roman"/>
        <family val="1"/>
      </rPr>
      <t>arterial flow</t>
    </r>
    <r>
      <rPr>
        <sz val="12"/>
        <rFont val="Times New Roman"/>
        <family val="1"/>
      </rPr>
      <t xml:space="preserve"> at adult age for an average person. Data from ICRP 2002. </t>
    </r>
  </si>
  <si>
    <t xml:space="preserve">QCC * (BW**0.75)*(1-HCT) </t>
  </si>
  <si>
    <t>cardiac output (note for plasma)</t>
  </si>
  <si>
    <t xml:space="preserve">QC   </t>
  </si>
  <si>
    <t>Calculated value (kg / m^2)</t>
  </si>
  <si>
    <t>(((1.12815e-06) * (YEARS**3.0)) - (1.72362e-04 * (YEARS**2.0)) + (8.15264e-03 * YEARS) + 0.327363) * (1.0 + WSV_HCT)</t>
  </si>
  <si>
    <t xml:space="preserve">0.359 * (1 + WSV_HCT) </t>
  </si>
  <si>
    <t>(((1.12815e-06) * (year^3.0)) - (1.72362e-04 * (year^2.0)) + (8.15264e-03 * year) + 0.327363) * (1.0 + WSV_HCT)</t>
  </si>
  <si>
    <t>Calculated value (Dimensionless)</t>
  </si>
  <si>
    <t>MVPLASC</t>
  </si>
  <si>
    <t>QLIVC (arterial)</t>
  </si>
  <si>
    <t>QLIVC (total)</t>
  </si>
  <si>
    <t>QLIV arterial (L/hr)</t>
  </si>
  <si>
    <t>QLIV total (L/hr)</t>
  </si>
  <si>
    <t>MVGUT</t>
  </si>
  <si>
    <t>L; Gut volume for an average person</t>
  </si>
  <si>
    <t xml:space="preserve">VGUTC </t>
  </si>
  <si>
    <t>VGUT / BW</t>
  </si>
  <si>
    <t>Calculate MVGUT (L)</t>
  </si>
  <si>
    <t>Calculate MVGUTC</t>
  </si>
  <si>
    <t>QGUTC_Adult</t>
  </si>
  <si>
    <t>QGUT</t>
  </si>
  <si>
    <t xml:space="preserve">(QGUTC * QCP </t>
  </si>
  <si>
    <t>VGUTC</t>
  </si>
  <si>
    <t>QGUTC</t>
  </si>
  <si>
    <t>VGUTC_Adult</t>
  </si>
  <si>
    <r>
      <t xml:space="preserve">Fractional male blood </t>
    </r>
    <r>
      <rPr>
        <b/>
        <u/>
        <sz val="12"/>
        <rFont val="Times New Roman"/>
        <family val="1"/>
      </rPr>
      <t>flow</t>
    </r>
    <r>
      <rPr>
        <sz val="12"/>
        <rFont val="Times New Roman"/>
        <family val="1"/>
      </rPr>
      <t xml:space="preserve"> to large + small intestine at adult age for an average person. Data from ICRP 2002. </t>
    </r>
  </si>
  <si>
    <t xml:space="preserve">QGUTC </t>
  </si>
  <si>
    <t>QGUT  (L/hr)</t>
  </si>
  <si>
    <t>Lean BW</t>
  </si>
  <si>
    <t>MBW - MVFAT</t>
  </si>
  <si>
    <t>MLBW</t>
  </si>
  <si>
    <t>kg; Lean body weight for an average person</t>
  </si>
  <si>
    <t>QLIVC (arterial) + QGUTC</t>
  </si>
  <si>
    <t>sum of arterial blood flow and the portal (QGUTC) blood flow</t>
  </si>
  <si>
    <t>MVBLDC</t>
  </si>
  <si>
    <t xml:space="preserve">Mean Body Height (MBH) Calculations </t>
  </si>
  <si>
    <t>Mean Body Surface Area (MBSA)</t>
  </si>
  <si>
    <t>Calculated MBSA (m^2)</t>
  </si>
  <si>
    <t xml:space="preserve">Mean Body Mass Index (MBMI) </t>
  </si>
  <si>
    <t>Mean Fat Volume (MFAT)</t>
  </si>
  <si>
    <t>Mean Gut Volume (MVGUT) determined by BW</t>
  </si>
  <si>
    <t>Calculate MVFAT (L)</t>
  </si>
  <si>
    <t>Mean Plasma Volume (MVPLAS)</t>
  </si>
  <si>
    <t xml:space="preserve">(10.0**(1.2082 * log10(MBSA) + 3.2869)) * (1.0 - HCT) / 1000.0     </t>
  </si>
  <si>
    <t xml:space="preserve">(10.0**(1.2082 * log10(MBSAADULT) + 3.2869)) * (1.0 - HCT) / 1000.0 </t>
  </si>
  <si>
    <t>Calculated MVPLAS</t>
  </si>
  <si>
    <t xml:space="preserve">(QBRNC * QCP) </t>
  </si>
  <si>
    <t>Standard fractional blood flow for Fat in MALE; (Brown et al., 1997 reports 5% cardiac output)</t>
  </si>
  <si>
    <t>(QFATC * QCP)</t>
  </si>
  <si>
    <t xml:space="preserve">(QLIVC * QCP) </t>
  </si>
  <si>
    <t>Resting</t>
  </si>
  <si>
    <t xml:space="preserve">DS </t>
  </si>
  <si>
    <t>Sitting awake</t>
  </si>
  <si>
    <t>Light exercise</t>
  </si>
  <si>
    <t>Heavy exercice</t>
  </si>
  <si>
    <t>TV at resting</t>
  </si>
  <si>
    <t>TV Light exercice</t>
  </si>
  <si>
    <t>EPA handbook water ingestion (2003-2006) table 3-36</t>
  </si>
  <si>
    <t>Mean L/day</t>
  </si>
  <si>
    <t>Birth to 1 month</t>
  </si>
  <si>
    <t>1-3M</t>
  </si>
  <si>
    <t>3-6M</t>
  </si>
  <si>
    <t>6-12M</t>
  </si>
  <si>
    <t>1-2Y</t>
  </si>
  <si>
    <t>2-3Y</t>
  </si>
  <si>
    <t>3-6Y</t>
  </si>
  <si>
    <t>6-11Y</t>
  </si>
  <si>
    <t>11-16Y</t>
  </si>
  <si>
    <t>16-18Y</t>
  </si>
  <si>
    <t>18-21Y</t>
  </si>
  <si>
    <t>21-65Y</t>
  </si>
  <si>
    <t>65+</t>
  </si>
  <si>
    <t>Mean rapidly perfused tissues Volume (MVRaP) determined by Gut Volume</t>
  </si>
  <si>
    <t>MVRap</t>
  </si>
  <si>
    <t>L; Rapidly perfused tissues volume for an average person</t>
  </si>
  <si>
    <t xml:space="preserve">VRapC </t>
  </si>
  <si>
    <t>VRap / BW</t>
  </si>
  <si>
    <t>Calculate MVRap (L)</t>
  </si>
  <si>
    <t>Calculate MVRapC</t>
  </si>
  <si>
    <t>QRapC</t>
  </si>
  <si>
    <t>VRapC</t>
  </si>
  <si>
    <t>VRapC_Adult</t>
  </si>
  <si>
    <t>QRapC_Adult</t>
  </si>
  <si>
    <t>Qrap</t>
  </si>
  <si>
    <t xml:space="preserve">QGUTC * QCP </t>
  </si>
  <si>
    <t xml:space="preserve">QRapC </t>
  </si>
  <si>
    <t>QRap  (L/hr)</t>
  </si>
  <si>
    <t>MWBIRTH</t>
  </si>
  <si>
    <t>Body weight at birth (Mean)</t>
  </si>
  <si>
    <t>MWCHILD</t>
  </si>
  <si>
    <t>Maximum weight for early hyperbolic section curve</t>
  </si>
  <si>
    <t>MWADULT</t>
  </si>
  <si>
    <t xml:space="preserve">max. wt. for later logistic section of growth curve (kg)
</t>
  </si>
  <si>
    <t>Half</t>
  </si>
  <si>
    <t xml:space="preserve">age at which wt. is half Wchild (yr)
</t>
  </si>
  <si>
    <t xml:space="preserve">MBWADULT
</t>
  </si>
  <si>
    <t>kg; Body weight for an average person at 268.1832 months; Note:  268 months = 22.3333 years</t>
  </si>
  <si>
    <t xml:space="preserve">3.5 + (MWCHILD * 25.25) / (3.0 + 25.25) + (MWADULT / (1.0 + 400.0 * EXP(-0.0086005 * MWADULT * 25.25)))     </t>
  </si>
  <si>
    <t>K</t>
  </si>
  <si>
    <t>Dimensionless; Logistic constant (shifts peak left or right)</t>
  </si>
  <si>
    <t xml:space="preserve">lambda (L)
</t>
  </si>
  <si>
    <t>logistic constant lambda (1/(kg-yr))</t>
  </si>
  <si>
    <t>log(K**2) / (2.0 * WA * WADULT)</t>
  </si>
  <si>
    <t>Calculated value (kg)</t>
  </si>
  <si>
    <t>THETA</t>
  </si>
  <si>
    <t>Year; timing parameter</t>
  </si>
  <si>
    <t>WADULT</t>
  </si>
  <si>
    <t>(((H1/100)^2)*(MWADULT/(1.6215^2)-0.9722*(THETA-11.2536)))</t>
  </si>
  <si>
    <t>cm</t>
  </si>
  <si>
    <t xml:space="preserve">3.4 + (MWCHILD * 22.333) / (3 + 22.333) + (MWADULT / (1.0 + 142.11536 * EXP(-0.01075 * MWADULT * 22.3333)))     </t>
  </si>
  <si>
    <t xml:space="preserve">3.4 +(MWCHILD * YEARS) / (3.0 + YEARS) + (MWADULT / (1.0 + 142.11536 * EXP(-0.01075 * MWADULT * YEARS))) </t>
  </si>
  <si>
    <t xml:space="preserve">((6.17*10^-09*MONTHS^3)-(9.68*10^-05*MONTHS^2)+(0.109*MONTHS)+43.790)*MBWADULT/66.17    </t>
  </si>
  <si>
    <t xml:space="preserve">162.15 - 2.0 * (162.15 - MHT) / (EXP(0.135 * (year - 11.2536)) + EXP(1.27 * (year - 11.2536)))  </t>
  </si>
  <si>
    <t xml:space="preserve">162.5 * (1.0 - 1.0 / (1.0 + ((years + 0.75) / 2.3)^0.7))  </t>
  </si>
  <si>
    <t>162.15 * (1.0 - 1.0 / (1.0 + ((YEARS + 0.75) / 2.3)^0.7)) * MBHT / MBHTJ</t>
  </si>
  <si>
    <t xml:space="preserve">162.15 - 2.0 * (162.15 - MHT) / (EXP(0.135 * (YEARS - 11.2536)) + EXP(1.27 * (YEARS - 11.2536))) </t>
  </si>
  <si>
    <t>0.027 * MLBW</t>
  </si>
  <si>
    <t xml:space="preserve">2.464 * MVGUT </t>
  </si>
  <si>
    <t>MVBLD</t>
  </si>
  <si>
    <t>Y = 0.1274*exp(ln(0.01345/0.1274)*exp(-0.1609*age))</t>
  </si>
  <si>
    <t>Validation table</t>
  </si>
  <si>
    <t xml:space="preserve"> ICRP data</t>
  </si>
  <si>
    <t>Our eqn</t>
  </si>
  <si>
    <t>newborn</t>
  </si>
  <si>
    <t>Adult</t>
  </si>
  <si>
    <t>Organ</t>
  </si>
  <si>
    <t>Neonate</t>
  </si>
  <si>
    <t>Yoon et al. 2011 based on Bjorkman et al. 2004</t>
  </si>
  <si>
    <t>Nhanes 2003</t>
  </si>
  <si>
    <t>Formulae</t>
  </si>
  <si>
    <t>Ref</t>
  </si>
  <si>
    <t>MLW</t>
  </si>
  <si>
    <t xml:space="preserve">Mean liver weight </t>
  </si>
  <si>
    <t>Liver volume * Liver density</t>
  </si>
  <si>
    <t>https://www.ncbi.nlm.nih.gov/pubmed/12826175</t>
  </si>
  <si>
    <t>Liver density (gm/L)</t>
  </si>
  <si>
    <t>Liver volume (L)</t>
  </si>
  <si>
    <t>Calculate MLW (g)</t>
  </si>
  <si>
    <t>(3.064/A9)*EXP(-0.5*(LN(A9/47.57)/1.94)^2)</t>
  </si>
  <si>
    <t>NHANES</t>
  </si>
  <si>
    <t>% fat</t>
  </si>
  <si>
    <t>MBHT</t>
  </si>
  <si>
    <t>MBHTJ</t>
  </si>
  <si>
    <t>cm; Mean body height for one years old</t>
  </si>
  <si>
    <t>cm; Mean body height for one years old calculated from JPPS</t>
  </si>
  <si>
    <t>Equation HCT</t>
  </si>
  <si>
    <t>VBRN = 10*(Years+0.315)/(9+6.92*Years)</t>
  </si>
  <si>
    <t>6M</t>
  </si>
  <si>
    <t>1Y</t>
  </si>
  <si>
    <t>2Y</t>
  </si>
  <si>
    <t>5Y</t>
  </si>
  <si>
    <t>10Y</t>
  </si>
  <si>
    <t>15Y</t>
  </si>
  <si>
    <t>Equation for QBRNC was developped based on yoon et al.2011</t>
  </si>
  <si>
    <t>RESPR at resting</t>
  </si>
  <si>
    <t>RESPR light excercice</t>
  </si>
  <si>
    <t>Life stage eqn from Huali et al</t>
  </si>
  <si>
    <t>NHANES 2004-2005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</si>
  <si>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</si>
  <si>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</si>
  <si>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</si>
  <si>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</si>
  <si>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</si>
  <si>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</si>
  <si>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</si>
  <si>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</si>
  <si>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</si>
  <si>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</si>
  <si>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</si>
  <si>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</si>
  <si>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</si>
  <si>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</si>
  <si>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</si>
  <si>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</si>
  <si>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</si>
  <si>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</si>
  <si>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</si>
  <si>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</si>
  <si>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</si>
  <si>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</si>
  <si>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</si>
  <si>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</si>
  <si>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24-25</t>
  </si>
  <si>
    <t>25-26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</si>
  <si>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</si>
  <si>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</si>
  <si>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</si>
  <si>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</si>
  <si>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</si>
  <si>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</si>
  <si>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</si>
  <si>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</si>
  <si>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</si>
  <si>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</si>
  <si>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36-37</t>
  </si>
  <si>
    <t>37-38</t>
  </si>
  <si>
    <t>38-39</t>
  </si>
  <si>
    <t>39-40</t>
  </si>
  <si>
    <t>40-41</t>
  </si>
  <si>
    <t>41-42</t>
  </si>
  <si>
    <t>42-43</t>
  </si>
  <si>
    <t>43-44</t>
  </si>
  <si>
    <t>44-45</t>
  </si>
  <si>
    <t>45-46</t>
  </si>
  <si>
    <t>46-47</t>
  </si>
  <si>
    <t>47-48</t>
  </si>
  <si>
    <t>48-49</t>
  </si>
  <si>
    <t>49-50</t>
  </si>
  <si>
    <t>50-51</t>
  </si>
  <si>
    <t>51-52</t>
  </si>
  <si>
    <t>52-53</t>
  </si>
  <si>
    <t>53-54</t>
  </si>
  <si>
    <t>54-55</t>
  </si>
  <si>
    <t>55-56</t>
  </si>
  <si>
    <t>56-57</t>
  </si>
  <si>
    <t>57-58</t>
  </si>
  <si>
    <t>58-59</t>
  </si>
  <si>
    <t>59-60</t>
  </si>
  <si>
    <t>60-61</t>
  </si>
  <si>
    <t>Respiratory parameters</t>
  </si>
  <si>
    <t>Unit</t>
  </si>
  <si>
    <t>Conditions</t>
  </si>
  <si>
    <t>Eqn from fitting ICRP data</t>
  </si>
  <si>
    <t>DS (dead space)</t>
  </si>
  <si>
    <t>L</t>
  </si>
  <si>
    <t>TV (Tidal volume)</t>
  </si>
  <si>
    <t>RESPR (Breathing rate)</t>
  </si>
  <si>
    <t>L/hr</t>
  </si>
  <si>
    <t>ICRP data</t>
  </si>
  <si>
    <t>Y= 0.02712+(age^0.9173)*(0.9599-0.02712)/(age^0.9173+27.01^0.9173)</t>
  </si>
  <si>
    <t>Y = 1.159*EXP(LN(0.07248/1.159)*EXP(-0.1362*age))</t>
  </si>
  <si>
    <t>Y = 0.3255*EXP(LN(0.08771/0.3255)*EXP(-0.3731*age))*1000</t>
  </si>
  <si>
    <t>Y = (0.269+(age^3.288)*(1.335-0.269)/(age^3.288+6.656^3.288))*1000</t>
  </si>
  <si>
    <t>Y = 1.159*EXP(LN(0.07248/1.159)*EXP(-0.1362*age))..Till age 5</t>
  </si>
  <si>
    <t>Y= 0.4532*EXP(LN(0.04072/0.4532)*EXP(-0.1909*age))</t>
  </si>
  <si>
    <t>Note after age 25, all other ages are assumed to have same QBRNC</t>
  </si>
  <si>
    <t>Barter et al 2008</t>
  </si>
  <si>
    <t>Calculated MPPGL vaue</t>
  </si>
  <si>
    <t>Final value</t>
  </si>
  <si>
    <t>CYP1A2 ontogeny describes Gompertz growth curve</t>
  </si>
  <si>
    <t>Y=YM*exp(ln(Y0/YM)*exp(-k*x))</t>
  </si>
  <si>
    <t>1*exp(ln(0.0153/1)*exp(-0.01423*x))</t>
  </si>
  <si>
    <t>Cyp1a2 abundance</t>
  </si>
  <si>
    <t>3.45 at 25Y extrapolated from the gompertz curve fitting on whole data set</t>
  </si>
  <si>
    <t>Age (Weeks after birth; so +40weeks considering full term pregnancy)</t>
  </si>
  <si>
    <t>CYP1A2 expression</t>
  </si>
  <si>
    <t>Fraction of adult (pmol/mg)</t>
  </si>
  <si>
    <t>Total</t>
  </si>
  <si>
    <t>CYP2B6 ontogeny describes Second order polynomial (quadratic)  growth curve</t>
  </si>
  <si>
    <t>Y = Bmax*X/(Kd + X)</t>
  </si>
  <si>
    <t>Y =1.014*X/(19.6 + X)</t>
  </si>
  <si>
    <t>CYP2B6 abundance</t>
  </si>
  <si>
    <t>CYP2B6 expression</t>
  </si>
  <si>
    <t>CYP2C9 ontogeny describes Gompertz growth curve</t>
  </si>
  <si>
    <t>1*exp(ln((1.65*10^-008)/1)*exp(-0.09376*x))</t>
  </si>
  <si>
    <t>CYP2C9 abundance</t>
  </si>
  <si>
    <r>
      <rPr>
        <sz val="12"/>
        <color rgb="FFFF0000"/>
        <rFont val="Times New Roman"/>
        <family val="1"/>
      </rPr>
      <t>3.45</t>
    </r>
    <r>
      <rPr>
        <sz val="12"/>
        <color theme="1"/>
        <rFont val="Times New Roman"/>
        <family val="1"/>
      </rPr>
      <t xml:space="preserve"> at 25Y extrapolated from the gompertz curve fitting on whole data set</t>
    </r>
  </si>
  <si>
    <t>CYP2C9 expression</t>
  </si>
  <si>
    <t>CYP2C19 ontogeny describes Gompertz growth curve</t>
  </si>
  <si>
    <t>0.9998*exp(ln(0.02271*0.9998)*exp(-0.03287*x))</t>
  </si>
  <si>
    <t>CYP2C19 abundance</t>
  </si>
  <si>
    <t>CYP2C19 expression</t>
  </si>
  <si>
    <t>CYP2E1 ontogeny describes sigmoidal growth curve</t>
  </si>
  <si>
    <t>Y=Vmax*X^h/(Khalf^h + X^h)</t>
  </si>
  <si>
    <t>1* (Age in weeks)^7.3
 (44.54^7.3 + (Age in weeks)^7.3</t>
  </si>
  <si>
    <t>CYP2E1 abundance</t>
  </si>
  <si>
    <r>
      <rPr>
        <sz val="12"/>
        <color rgb="FFFF0000"/>
        <rFont val="Times New Roman"/>
        <family val="1"/>
      </rPr>
      <t>48</t>
    </r>
    <r>
      <rPr>
        <sz val="12"/>
        <color theme="1"/>
        <rFont val="Times New Roman"/>
        <family val="1"/>
      </rPr>
      <t xml:space="preserve"> at 25Y extrapolated from the sigmoidal curve fitting on whole data set</t>
    </r>
  </si>
  <si>
    <t>Population abundance is 64.5 pmol/mg ( Achour et al)</t>
  </si>
  <si>
    <t>CYP2E1 expression</t>
  </si>
  <si>
    <t>UGT1A9 ontogeny describes Hyperbolic growth curve</t>
  </si>
  <si>
    <t>Bmax*X/(Kd + X)</t>
  </si>
  <si>
    <t>1*X/(0.85 + X)</t>
  </si>
  <si>
    <t>UGT1A9 abundance</t>
  </si>
  <si>
    <r>
      <rPr>
        <sz val="12"/>
        <color rgb="FFFF0000"/>
        <rFont val="Times New Roman"/>
        <family val="1"/>
      </rPr>
      <t>2.2</t>
    </r>
    <r>
      <rPr>
        <sz val="12"/>
        <color theme="1"/>
        <rFont val="Times New Roman"/>
        <family val="1"/>
      </rPr>
      <t xml:space="preserve"> at 25Y extrapolated from the Hyperbolic curve fitting on whole data set</t>
    </r>
  </si>
  <si>
    <t>UGT1A9 expression</t>
  </si>
  <si>
    <t>ISEF</t>
  </si>
  <si>
    <t xml:space="preserve">* Age specific paramter values for liver weight, BW, and MPPGL are provided in the spreadsheets appnded in this document. </t>
  </si>
  <si>
    <t>CL in vivo (L/h/kg liver), Yoon et al., 2015</t>
  </si>
  <si>
    <t>CYP1A2</t>
  </si>
  <si>
    <t>Hepatocyte based</t>
  </si>
  <si>
    <t>CYP2B6</t>
  </si>
  <si>
    <t>CYY2C9</t>
  </si>
  <si>
    <t>* This corresponds to the parameter VKM1C in the model</t>
  </si>
  <si>
    <t>CYY2C19</t>
  </si>
  <si>
    <t>CYP2E1</t>
  </si>
  <si>
    <t>UGT1A9</t>
  </si>
  <si>
    <t>Liver scalar = 1</t>
  </si>
  <si>
    <t xml:space="preserve">Note: CYP2E1 contribution is about 1% , therefore its ontogeny is likely to effect the overall Carbaryl CL marginally. Hence, CYP2E1  profile will be added to the calculation once ontogeny is eshtablished </t>
  </si>
  <si>
    <t xml:space="preserve">Ontogeny curve based adult data extrapolated from fraction of adult Carbaryl CL </t>
  </si>
  <si>
    <t xml:space="preserve">Age </t>
  </si>
  <si>
    <t>Isoforms</t>
  </si>
  <si>
    <t>CLint (in vitro)</t>
  </si>
  <si>
    <t>fumic</t>
  </si>
  <si>
    <t>MPPGL</t>
  </si>
  <si>
    <t>Ontogeny (fraction of adult)</t>
  </si>
  <si>
    <t>Population Abundance</t>
  </si>
  <si>
    <t>Abundance (estimated using adult abundance and ontogeny curve)</t>
  </si>
  <si>
    <t>Liver weight</t>
  </si>
  <si>
    <t>Clint, in vivo (whole liver)</t>
  </si>
  <si>
    <t>Total Clint, in vivo (per kg liver)</t>
  </si>
  <si>
    <t>% contribution</t>
  </si>
  <si>
    <t>Total Clint, in vivo (per kg liver) calculated based on fold difference)</t>
  </si>
  <si>
    <t>Clint, in vivo (per kg liver) - assuming total Clint, in vivo =22L/hr/kg liver</t>
  </si>
  <si>
    <t>Age</t>
  </si>
  <si>
    <t>CL</t>
  </si>
  <si>
    <t>uL/min/pmol</t>
  </si>
  <si>
    <t>unit less</t>
  </si>
  <si>
    <t>mg/g</t>
  </si>
  <si>
    <t>pmol/mg</t>
  </si>
  <si>
    <t>gm</t>
  </si>
  <si>
    <t>uL/min</t>
  </si>
  <si>
    <t>kg</t>
  </si>
  <si>
    <t>L/hr/kg</t>
  </si>
  <si>
    <t xml:space="preserve">L/hr/kg liver </t>
  </si>
  <si>
    <t>CYP2C9</t>
  </si>
  <si>
    <t>CYP2C19</t>
  </si>
  <si>
    <t>CLint in vitro</t>
  </si>
  <si>
    <t>RAF</t>
  </si>
  <si>
    <t>Clint, in vivo (body)</t>
  </si>
  <si>
    <t>uL/min/mg prot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</si>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</sst>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"/>
    <numFmt numFmtId="166" formatCode="0.0"/>
    <numFmt numFmtId="167" formatCode="0.00000"/>
  </numFmts>
  <fonts count="2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C00000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sz val="18"/>
      <color rgb="FF292934"/>
      <name val="Arial"/>
      <family val="2"/>
    </font>
    <font>
      <sz val="11"/>
      <color theme="1"/>
      <name val="Calibri"/>
      <family val="2"/>
      <scheme val="minor"/>
    </font>
    <font>
      <sz val="12"/>
      <color theme="4" tint="-0.249977111117893"/>
      <name val="Times New Roman"/>
      <family val="1"/>
    </font>
    <font>
      <sz val="12"/>
      <color rgb="FF00B0F0"/>
      <name val="Times New Roman"/>
      <family val="1"/>
    </font>
    <font>
      <sz val="12"/>
      <color rgb="FF0070C0"/>
      <name val="Times New Roman"/>
      <family val="1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</font>
    <font>
      <b/>
      <sz val="20"/>
      <color theme="1"/>
      <name val="Times New Roman"/>
      <family val="1"/>
    </font>
    <font>
      <b/>
      <sz val="12"/>
      <color theme="4" tint="-0.249977111117893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4">
    <xf numFmtId="0" fontId="0" fillId="0" borderId="0"/>
    <xf numFmtId="0" fontId="5" fillId="0" borderId="0"/>
    <xf numFmtId="0" fontId="13" fillId="0" borderId="0"/>
    <xf numFmtId="0" fontId="20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2" borderId="0" xfId="0" applyFont="1" applyFill="1"/>
    <xf numFmtId="0" fontId="7" fillId="0" borderId="1" xfId="0" applyFont="1" applyBorder="1"/>
    <xf numFmtId="0" fontId="3" fillId="2" borderId="1" xfId="0" applyFont="1" applyFill="1" applyBorder="1"/>
    <xf numFmtId="0" fontId="7" fillId="0" borderId="1" xfId="0" applyFont="1" applyBorder="1" applyAlignment="1">
      <alignment wrapText="1"/>
    </xf>
    <xf numFmtId="0" fontId="0" fillId="0" borderId="1" xfId="0" applyBorder="1"/>
    <xf numFmtId="0" fontId="3" fillId="2" borderId="1" xfId="0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164" fontId="3" fillId="0" borderId="0" xfId="0" applyNumberFormat="1" applyFont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3" borderId="0" xfId="0" applyFill="1"/>
    <xf numFmtId="0" fontId="3" fillId="3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/>
    <xf numFmtId="0" fontId="1" fillId="0" borderId="0" xfId="0" applyFont="1" applyFill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164" fontId="16" fillId="0" borderId="1" xfId="0" applyNumberFormat="1" applyFont="1" applyFill="1" applyBorder="1" applyAlignment="1">
      <alignment wrapText="1"/>
    </xf>
    <xf numFmtId="0" fontId="8" fillId="0" borderId="0" xfId="0" applyFont="1" applyFill="1"/>
    <xf numFmtId="165" fontId="3" fillId="0" borderId="1" xfId="0" applyNumberFormat="1" applyFont="1" applyFill="1" applyBorder="1" applyAlignment="1">
      <alignment wrapText="1"/>
    </xf>
    <xf numFmtId="0" fontId="16" fillId="0" borderId="1" xfId="0" applyFont="1" applyFill="1" applyBorder="1"/>
    <xf numFmtId="164" fontId="16" fillId="0" borderId="1" xfId="0" applyNumberFormat="1" applyFont="1" applyFill="1" applyBorder="1"/>
    <xf numFmtId="0" fontId="12" fillId="0" borderId="0" xfId="0" applyFont="1" applyFill="1" applyAlignment="1">
      <alignment horizontal="left" vertical="center" readingOrder="1"/>
    </xf>
    <xf numFmtId="0" fontId="3" fillId="0" borderId="1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/>
    <xf numFmtId="2" fontId="3" fillId="0" borderId="1" xfId="0" applyNumberFormat="1" applyFont="1" applyFill="1" applyBorder="1"/>
    <xf numFmtId="165" fontId="4" fillId="0" borderId="1" xfId="0" applyNumberFormat="1" applyFont="1" applyFill="1" applyBorder="1" applyAlignment="1">
      <alignment wrapText="1"/>
    </xf>
    <xf numFmtId="165" fontId="15" fillId="0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11" xfId="0" applyFont="1" applyFill="1" applyBorder="1" applyAlignment="1">
      <alignment horizontal="center" wrapText="1"/>
    </xf>
    <xf numFmtId="0" fontId="15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164" fontId="15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2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/>
    <xf numFmtId="2" fontId="3" fillId="3" borderId="1" xfId="0" applyNumberFormat="1" applyFont="1" applyFill="1" applyBorder="1"/>
    <xf numFmtId="164" fontId="16" fillId="3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64" fontId="3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0" fontId="15" fillId="0" borderId="1" xfId="0" applyFont="1" applyBorder="1"/>
    <xf numFmtId="165" fontId="15" fillId="0" borderId="1" xfId="0" applyNumberFormat="1" applyFont="1" applyFill="1" applyBorder="1" applyAlignment="1">
      <alignment wrapText="1"/>
    </xf>
    <xf numFmtId="165" fontId="15" fillId="3" borderId="1" xfId="0" applyNumberFormat="1" applyFont="1" applyFill="1" applyBorder="1"/>
    <xf numFmtId="165" fontId="4" fillId="3" borderId="1" xfId="0" applyNumberFormat="1" applyFont="1" applyFill="1" applyBorder="1" applyAlignment="1">
      <alignment wrapText="1"/>
    </xf>
    <xf numFmtId="164" fontId="16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165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165" fontId="9" fillId="3" borderId="1" xfId="0" applyNumberFormat="1" applyFont="1" applyFill="1" applyBorder="1" applyAlignment="1">
      <alignment wrapText="1"/>
    </xf>
    <xf numFmtId="164" fontId="9" fillId="3" borderId="1" xfId="0" applyNumberFormat="1" applyFont="1" applyFill="1" applyBorder="1" applyAlignment="1">
      <alignment wrapText="1"/>
    </xf>
    <xf numFmtId="2" fontId="9" fillId="3" borderId="1" xfId="0" applyNumberFormat="1" applyFont="1" applyFill="1" applyBorder="1" applyAlignment="1">
      <alignment wrapText="1"/>
    </xf>
    <xf numFmtId="164" fontId="11" fillId="3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2" fontId="11" fillId="3" borderId="1" xfId="0" applyNumberFormat="1" applyFont="1" applyFill="1" applyBorder="1" applyAlignment="1">
      <alignment wrapText="1"/>
    </xf>
    <xf numFmtId="165" fontId="1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2" fontId="15" fillId="3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1" fillId="0" borderId="1" xfId="3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right" vertical="center"/>
    </xf>
    <xf numFmtId="164" fontId="16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11" fillId="0" borderId="1" xfId="0" applyFont="1" applyBorder="1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/>
    </xf>
    <xf numFmtId="165" fontId="15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65" fontId="3" fillId="7" borderId="1" xfId="0" applyNumberFormat="1" applyFont="1" applyFill="1" applyBorder="1" applyAlignment="1">
      <alignment wrapText="1"/>
    </xf>
    <xf numFmtId="164" fontId="3" fillId="7" borderId="1" xfId="0" applyNumberFormat="1" applyFont="1" applyFill="1" applyBorder="1" applyAlignment="1">
      <alignment wrapText="1"/>
    </xf>
    <xf numFmtId="2" fontId="3" fillId="7" borderId="1" xfId="0" applyNumberFormat="1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0" fontId="3" fillId="7" borderId="0" xfId="0" applyFont="1" applyFill="1" applyAlignment="1">
      <alignment wrapText="1"/>
    </xf>
    <xf numFmtId="165" fontId="1" fillId="7" borderId="1" xfId="0" applyNumberFormat="1" applyFont="1" applyFill="1" applyBorder="1" applyAlignment="1">
      <alignment wrapText="1"/>
    </xf>
    <xf numFmtId="164" fontId="15" fillId="7" borderId="1" xfId="0" applyNumberFormat="1" applyFont="1" applyFill="1" applyBorder="1" applyAlignment="1">
      <alignment wrapText="1"/>
    </xf>
    <xf numFmtId="2" fontId="1" fillId="7" borderId="1" xfId="0" applyNumberFormat="1" applyFont="1" applyFill="1" applyBorder="1" applyAlignment="1">
      <alignment wrapText="1"/>
    </xf>
    <xf numFmtId="166" fontId="3" fillId="7" borderId="1" xfId="0" applyNumberFormat="1" applyFont="1" applyFill="1" applyBorder="1" applyAlignment="1">
      <alignment horizontal="center" vertical="center" wrapText="1"/>
    </xf>
    <xf numFmtId="2" fontId="15" fillId="7" borderId="1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2" xfId="0" applyFont="1" applyFill="1" applyBorder="1"/>
    <xf numFmtId="0" fontId="1" fillId="0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wrapText="1"/>
    </xf>
    <xf numFmtId="2" fontId="15" fillId="3" borderId="10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wrapText="1"/>
    </xf>
    <xf numFmtId="0" fontId="3" fillId="7" borderId="1" xfId="0" applyFont="1" applyFill="1" applyBorder="1"/>
    <xf numFmtId="2" fontId="15" fillId="0" borderId="1" xfId="0" applyNumberFormat="1" applyFont="1" applyFill="1" applyBorder="1" applyAlignment="1">
      <alignment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wrapText="1"/>
    </xf>
    <xf numFmtId="49" fontId="3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3" fillId="7" borderId="10" xfId="0" applyFont="1" applyFill="1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/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0" xfId="0" applyFont="1" applyFill="1"/>
    <xf numFmtId="0" fontId="3" fillId="0" borderId="1" xfId="0" applyFont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165" fontId="15" fillId="3" borderId="1" xfId="0" applyNumberFormat="1" applyFont="1" applyFill="1" applyBorder="1" applyAlignment="1">
      <alignment wrapText="1"/>
    </xf>
    <xf numFmtId="0" fontId="19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wrapText="1"/>
    </xf>
    <xf numFmtId="0" fontId="6" fillId="9" borderId="3" xfId="0" applyFont="1" applyFill="1" applyBorder="1" applyAlignment="1">
      <alignment horizontal="center" wrapText="1"/>
    </xf>
    <xf numFmtId="0" fontId="6" fillId="9" borderId="4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horizontal="center" wrapText="1"/>
    </xf>
    <xf numFmtId="0" fontId="6" fillId="9" borderId="1" xfId="0" applyFont="1" applyFill="1" applyBorder="1" applyAlignment="1">
      <alignment wrapText="1"/>
    </xf>
    <xf numFmtId="0" fontId="2" fillId="0" borderId="8" xfId="0" applyFont="1" applyBorder="1"/>
    <xf numFmtId="0" fontId="2" fillId="0" borderId="12" xfId="0" applyFont="1" applyBorder="1"/>
    <xf numFmtId="1" fontId="2" fillId="0" borderId="12" xfId="0" applyNumberFormat="1" applyFont="1" applyBorder="1"/>
    <xf numFmtId="166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/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wrapText="1"/>
    </xf>
    <xf numFmtId="0" fontId="15" fillId="10" borderId="1" xfId="0" applyFont="1" applyFill="1" applyBorder="1" applyAlignment="1">
      <alignment wrapText="1"/>
    </xf>
    <xf numFmtId="0" fontId="3" fillId="11" borderId="1" xfId="0" applyFont="1" applyFill="1" applyBorder="1"/>
    <xf numFmtId="0" fontId="23" fillId="0" borderId="0" xfId="0" applyFont="1" applyFill="1"/>
    <xf numFmtId="0" fontId="23" fillId="0" borderId="0" xfId="0" applyFont="1" applyFill="1" applyAlignment="1">
      <alignment wrapText="1"/>
    </xf>
    <xf numFmtId="0" fontId="23" fillId="0" borderId="1" xfId="0" applyFont="1" applyFill="1" applyBorder="1" applyAlignment="1">
      <alignment wrapText="1"/>
    </xf>
    <xf numFmtId="164" fontId="23" fillId="3" borderId="1" xfId="0" applyNumberFormat="1" applyFont="1" applyFill="1" applyBorder="1" applyAlignment="1">
      <alignment wrapText="1"/>
    </xf>
    <xf numFmtId="164" fontId="23" fillId="0" borderId="1" xfId="0" applyNumberFormat="1" applyFont="1" applyFill="1" applyBorder="1" applyAlignment="1">
      <alignment wrapText="1"/>
    </xf>
    <xf numFmtId="164" fontId="23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166" fontId="14" fillId="3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/>
    <xf numFmtId="167" fontId="3" fillId="0" borderId="1" xfId="2" applyNumberFormat="1" applyFont="1" applyFill="1" applyBorder="1"/>
    <xf numFmtId="0" fontId="3" fillId="3" borderId="1" xfId="2" applyFont="1" applyFill="1" applyBorder="1"/>
    <xf numFmtId="167" fontId="3" fillId="3" borderId="1" xfId="2" applyNumberFormat="1" applyFont="1" applyFill="1" applyBorder="1"/>
    <xf numFmtId="0" fontId="3" fillId="5" borderId="0" xfId="2" applyFont="1" applyFill="1"/>
    <xf numFmtId="0" fontId="3" fillId="0" borderId="1" xfId="2" applyFont="1" applyFill="1" applyBorder="1" applyAlignment="1">
      <alignment wrapText="1"/>
    </xf>
    <xf numFmtId="0" fontId="10" fillId="0" borderId="1" xfId="2" applyFont="1" applyFill="1" applyBorder="1" applyAlignment="1">
      <alignment wrapText="1"/>
    </xf>
    <xf numFmtId="0" fontId="1" fillId="0" borderId="1" xfId="2" applyFont="1" applyFill="1" applyBorder="1" applyAlignment="1">
      <alignment wrapText="1"/>
    </xf>
    <xf numFmtId="0" fontId="3" fillId="0" borderId="0" xfId="2" applyFont="1" applyAlignment="1">
      <alignment wrapText="1"/>
    </xf>
    <xf numFmtId="0" fontId="3" fillId="0" borderId="1" xfId="2" applyFont="1" applyBorder="1" applyAlignment="1">
      <alignment horizontal="center" wrapText="1"/>
    </xf>
    <xf numFmtId="0" fontId="3" fillId="0" borderId="0" xfId="2" applyFont="1" applyFill="1" applyBorder="1" applyAlignment="1">
      <alignment horizontal="center" wrapText="1"/>
    </xf>
    <xf numFmtId="164" fontId="3" fillId="0" borderId="0" xfId="2" applyNumberFormat="1" applyFont="1" applyFill="1" applyBorder="1" applyAlignment="1">
      <alignment horizontal="center" wrapText="1"/>
    </xf>
    <xf numFmtId="0" fontId="10" fillId="0" borderId="0" xfId="2" applyFont="1" applyFill="1" applyBorder="1" applyAlignment="1">
      <alignment horizontal="center" wrapText="1"/>
    </xf>
    <xf numFmtId="166" fontId="3" fillId="0" borderId="0" xfId="2" applyNumberFormat="1" applyFont="1" applyFill="1" applyBorder="1" applyAlignment="1">
      <alignment horizontal="center" wrapText="1"/>
    </xf>
    <xf numFmtId="167" fontId="3" fillId="0" borderId="0" xfId="2" applyNumberFormat="1" applyFont="1" applyFill="1" applyBorder="1" applyAlignment="1">
      <alignment horizontal="center" wrapText="1"/>
    </xf>
    <xf numFmtId="165" fontId="3" fillId="0" borderId="0" xfId="2" applyNumberFormat="1" applyFont="1" applyFill="1" applyBorder="1" applyAlignment="1">
      <alignment horizontal="center" wrapText="1"/>
    </xf>
    <xf numFmtId="2" fontId="3" fillId="0" borderId="0" xfId="2" applyNumberFormat="1" applyFont="1" applyFill="1" applyBorder="1" applyAlignment="1">
      <alignment wrapText="1"/>
    </xf>
    <xf numFmtId="0" fontId="3" fillId="0" borderId="0" xfId="2" applyFont="1" applyFill="1" applyAlignment="1">
      <alignment wrapText="1"/>
    </xf>
    <xf numFmtId="0" fontId="3" fillId="5" borderId="1" xfId="2" applyFont="1" applyFill="1" applyBorder="1" applyAlignment="1">
      <alignment horizontal="center" wrapText="1"/>
    </xf>
    <xf numFmtId="0" fontId="3" fillId="5" borderId="1" xfId="2" applyFont="1" applyFill="1" applyBorder="1" applyAlignment="1">
      <alignment wrapText="1"/>
    </xf>
    <xf numFmtId="0" fontId="3" fillId="5" borderId="1" xfId="2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center" wrapText="1"/>
    </xf>
    <xf numFmtId="0" fontId="3" fillId="4" borderId="1" xfId="2" applyFont="1" applyFill="1" applyBorder="1" applyAlignment="1">
      <alignment horizontal="center" wrapText="1"/>
    </xf>
    <xf numFmtId="164" fontId="3" fillId="4" borderId="1" xfId="2" applyNumberFormat="1" applyFont="1" applyFill="1" applyBorder="1" applyAlignment="1">
      <alignment horizontal="center" wrapText="1"/>
    </xf>
    <xf numFmtId="2" fontId="3" fillId="4" borderId="1" xfId="2" applyNumberFormat="1" applyFont="1" applyFill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166" fontId="3" fillId="4" borderId="1" xfId="2" applyNumberFormat="1" applyFont="1" applyFill="1" applyBorder="1" applyAlignment="1">
      <alignment horizontal="center" wrapText="1"/>
    </xf>
    <xf numFmtId="165" fontId="3" fillId="0" borderId="1" xfId="2" applyNumberFormat="1" applyFont="1" applyBorder="1" applyAlignment="1">
      <alignment horizontal="center" wrapText="1"/>
    </xf>
    <xf numFmtId="0" fontId="3" fillId="0" borderId="1" xfId="2" applyFont="1" applyFill="1" applyBorder="1" applyAlignment="1">
      <alignment vertical="center" wrapText="1"/>
    </xf>
    <xf numFmtId="2" fontId="3" fillId="0" borderId="1" xfId="2" applyNumberFormat="1" applyFont="1" applyFill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2" fontId="3" fillId="0" borderId="1" xfId="2" applyNumberFormat="1" applyFont="1" applyBorder="1" applyAlignment="1">
      <alignment vertical="center" wrapText="1"/>
    </xf>
    <xf numFmtId="0" fontId="10" fillId="4" borderId="1" xfId="2" applyFont="1" applyFill="1" applyBorder="1" applyAlignment="1">
      <alignment horizontal="center" wrapText="1"/>
    </xf>
    <xf numFmtId="164" fontId="10" fillId="4" borderId="1" xfId="2" applyNumberFormat="1" applyFont="1" applyFill="1" applyBorder="1" applyAlignment="1">
      <alignment horizontal="center" wrapText="1"/>
    </xf>
    <xf numFmtId="2" fontId="10" fillId="4" borderId="1" xfId="2" applyNumberFormat="1" applyFont="1" applyFill="1" applyBorder="1" applyAlignment="1">
      <alignment horizontal="center" wrapText="1"/>
    </xf>
    <xf numFmtId="165" fontId="10" fillId="4" borderId="1" xfId="2" applyNumberFormat="1" applyFont="1" applyFill="1" applyBorder="1" applyAlignment="1">
      <alignment horizontal="center" wrapText="1"/>
    </xf>
    <xf numFmtId="164" fontId="10" fillId="0" borderId="1" xfId="2" applyNumberFormat="1" applyFont="1" applyBorder="1" applyAlignment="1">
      <alignment horizontal="center" wrapText="1"/>
    </xf>
    <xf numFmtId="166" fontId="10" fillId="4" borderId="1" xfId="2" applyNumberFormat="1" applyFont="1" applyFill="1" applyBorder="1" applyAlignment="1">
      <alignment horizontal="center" wrapText="1"/>
    </xf>
    <xf numFmtId="165" fontId="10" fillId="0" borderId="1" xfId="2" applyNumberFormat="1" applyFont="1" applyBorder="1" applyAlignment="1">
      <alignment horizontal="center" wrapText="1"/>
    </xf>
    <xf numFmtId="0" fontId="3" fillId="5" borderId="22" xfId="2" applyFont="1" applyFill="1" applyBorder="1" applyAlignment="1">
      <alignment horizontal="center" wrapText="1"/>
    </xf>
    <xf numFmtId="166" fontId="3" fillId="5" borderId="1" xfId="2" applyNumberFormat="1" applyFont="1" applyFill="1" applyBorder="1" applyAlignment="1">
      <alignment horizontal="center" wrapText="1"/>
    </xf>
    <xf numFmtId="2" fontId="3" fillId="0" borderId="0" xfId="2" applyNumberFormat="1" applyFont="1" applyFill="1" applyAlignment="1">
      <alignment wrapText="1"/>
    </xf>
    <xf numFmtId="0" fontId="10" fillId="5" borderId="1" xfId="2" applyFont="1" applyFill="1" applyBorder="1" applyAlignment="1">
      <alignment horizontal="center" wrapText="1"/>
    </xf>
    <xf numFmtId="166" fontId="3" fillId="5" borderId="1" xfId="2" applyNumberFormat="1" applyFont="1" applyFill="1" applyBorder="1" applyAlignment="1">
      <alignment wrapText="1"/>
    </xf>
    <xf numFmtId="167" fontId="3" fillId="4" borderId="1" xfId="2" applyNumberFormat="1" applyFont="1" applyFill="1" applyBorder="1" applyAlignment="1">
      <alignment horizontal="center" wrapText="1"/>
    </xf>
    <xf numFmtId="164" fontId="3" fillId="0" borderId="0" xfId="2" applyNumberFormat="1" applyFont="1" applyFill="1" applyAlignment="1">
      <alignment wrapText="1"/>
    </xf>
    <xf numFmtId="2" fontId="3" fillId="0" borderId="0" xfId="2" applyNumberFormat="1" applyFont="1" applyAlignment="1">
      <alignment wrapText="1"/>
    </xf>
    <xf numFmtId="165" fontId="3" fillId="0" borderId="0" xfId="2" applyNumberFormat="1" applyFont="1" applyAlignment="1">
      <alignment wrapText="1"/>
    </xf>
    <xf numFmtId="0" fontId="3" fillId="3" borderId="1" xfId="2" applyFont="1" applyFill="1" applyBorder="1" applyAlignment="1">
      <alignment horizontal="center" wrapText="1"/>
    </xf>
    <xf numFmtId="164" fontId="3" fillId="3" borderId="1" xfId="2" applyNumberFormat="1" applyFont="1" applyFill="1" applyBorder="1" applyAlignment="1">
      <alignment horizontal="center" wrapText="1"/>
    </xf>
    <xf numFmtId="2" fontId="3" fillId="4" borderId="1" xfId="2" applyNumberFormat="1" applyFont="1" applyFill="1" applyBorder="1" applyAlignment="1">
      <alignment wrapText="1"/>
    </xf>
    <xf numFmtId="0" fontId="3" fillId="3" borderId="22" xfId="2" applyFont="1" applyFill="1" applyBorder="1" applyAlignment="1">
      <alignment horizontal="center" wrapText="1"/>
    </xf>
    <xf numFmtId="2" fontId="3" fillId="5" borderId="1" xfId="2" applyNumberFormat="1" applyFont="1" applyFill="1" applyBorder="1" applyAlignment="1">
      <alignment wrapText="1"/>
    </xf>
    <xf numFmtId="165" fontId="3" fillId="4" borderId="1" xfId="2" applyNumberFormat="1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6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wrapText="1"/>
    </xf>
    <xf numFmtId="0" fontId="6" fillId="9" borderId="3" xfId="0" applyFont="1" applyFill="1" applyBorder="1" applyAlignment="1">
      <alignment horizontal="center" wrapText="1"/>
    </xf>
    <xf numFmtId="0" fontId="6" fillId="9" borderId="4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 wrapText="1"/>
    </xf>
    <xf numFmtId="0" fontId="3" fillId="4" borderId="1" xfId="2" applyFont="1" applyFill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wrapText="1"/>
    </xf>
    <xf numFmtId="2" fontId="3" fillId="4" borderId="8" xfId="2" applyNumberFormat="1" applyFont="1" applyFill="1" applyBorder="1" applyAlignment="1">
      <alignment horizontal="center" wrapText="1"/>
    </xf>
    <xf numFmtId="2" fontId="3" fillId="4" borderId="9" xfId="2" applyNumberFormat="1" applyFont="1" applyFill="1" applyBorder="1" applyAlignment="1">
      <alignment horizontal="center" wrapText="1"/>
    </xf>
    <xf numFmtId="2" fontId="3" fillId="4" borderId="10" xfId="2" applyNumberFormat="1" applyFont="1" applyFill="1" applyBorder="1" applyAlignment="1">
      <alignment horizontal="center" wrapText="1"/>
    </xf>
    <xf numFmtId="0" fontId="3" fillId="3" borderId="1" xfId="2" applyFont="1" applyFill="1" applyBorder="1" applyAlignment="1">
      <alignment horizontal="center" wrapText="1"/>
    </xf>
    <xf numFmtId="0" fontId="3" fillId="5" borderId="22" xfId="2" applyFont="1" applyFill="1" applyBorder="1" applyAlignment="1">
      <alignment horizontal="center" wrapText="1"/>
    </xf>
    <xf numFmtId="0" fontId="3" fillId="5" borderId="1" xfId="2" applyFont="1" applyFill="1" applyBorder="1" applyAlignment="1">
      <alignment horizontal="center" wrapText="1"/>
    </xf>
    <xf numFmtId="164" fontId="3" fillId="4" borderId="8" xfId="2" applyNumberFormat="1" applyFont="1" applyFill="1" applyBorder="1" applyAlignment="1">
      <alignment horizontal="center" wrapText="1"/>
    </xf>
    <xf numFmtId="164" fontId="3" fillId="4" borderId="9" xfId="2" applyNumberFormat="1" applyFont="1" applyFill="1" applyBorder="1" applyAlignment="1">
      <alignment horizontal="center" wrapText="1"/>
    </xf>
    <xf numFmtId="164" fontId="3" fillId="4" borderId="10" xfId="2" applyNumberFormat="1" applyFont="1" applyFill="1" applyBorder="1" applyAlignment="1">
      <alignment horizontal="center" wrapText="1"/>
    </xf>
    <xf numFmtId="164" fontId="3" fillId="3" borderId="1" xfId="2" applyNumberFormat="1" applyFont="1" applyFill="1" applyBorder="1" applyAlignment="1">
      <alignment horizontal="center" wrapText="1"/>
    </xf>
    <xf numFmtId="0" fontId="9" fillId="13" borderId="19" xfId="2" applyFont="1" applyFill="1" applyBorder="1" applyAlignment="1">
      <alignment horizontal="center" vertical="center" wrapText="1"/>
    </xf>
    <xf numFmtId="0" fontId="9" fillId="13" borderId="20" xfId="2" applyFont="1" applyFill="1" applyBorder="1" applyAlignment="1">
      <alignment horizontal="center" vertical="center" wrapText="1"/>
    </xf>
    <xf numFmtId="0" fontId="9" fillId="13" borderId="21" xfId="2" applyFont="1" applyFill="1" applyBorder="1" applyAlignment="1">
      <alignment horizontal="center" vertical="center" wrapText="1"/>
    </xf>
    <xf numFmtId="0" fontId="7" fillId="5" borderId="2" xfId="2" applyFont="1" applyFill="1" applyBorder="1" applyAlignment="1">
      <alignment horizontal="center" wrapText="1"/>
    </xf>
    <xf numFmtId="0" fontId="7" fillId="5" borderId="3" xfId="2" applyFont="1" applyFill="1" applyBorder="1" applyAlignment="1">
      <alignment horizontal="center" wrapText="1"/>
    </xf>
    <xf numFmtId="0" fontId="7" fillId="5" borderId="4" xfId="2" applyFont="1" applyFill="1" applyBorder="1" applyAlignment="1">
      <alignment horizontal="center" wrapText="1"/>
    </xf>
    <xf numFmtId="0" fontId="3" fillId="12" borderId="1" xfId="2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2" xfId="2" applyFont="1" applyBorder="1" applyAlignment="1">
      <alignment horizontal="center" wrapText="1"/>
    </xf>
    <xf numFmtId="0" fontId="3" fillId="0" borderId="13" xfId="2" applyFont="1" applyBorder="1" applyAlignment="1">
      <alignment horizontal="center" wrapText="1"/>
    </xf>
    <xf numFmtId="0" fontId="3" fillId="0" borderId="14" xfId="2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Alignment="1">
      <alignment horizontal="center" wrapText="1"/>
    </xf>
  </cellXfs>
  <cellStyles count="4">
    <cellStyle name="Hyperlink" xfId="3" builtinId="8"/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BW!$B$14:$B$78</c:f>
              <c:numCache>
                <c:formatCode>General</c:formatCode>
                <c:ptCount val="6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1.9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10.3</c:v>
                </c:pt>
                <c:pt idx="15">
                  <c:v>11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24</c:v>
                </c:pt>
                <c:pt idx="29">
                  <c:v>25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32</c:v>
                </c:pt>
                <c:pt idx="37">
                  <c:v>33</c:v>
                </c:pt>
                <c:pt idx="38">
                  <c:v>34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38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42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46</c:v>
                </c:pt>
                <c:pt idx="51">
                  <c:v>47</c:v>
                </c:pt>
                <c:pt idx="52">
                  <c:v>48</c:v>
                </c:pt>
                <c:pt idx="53">
                  <c:v>49</c:v>
                </c:pt>
                <c:pt idx="54">
                  <c:v>50</c:v>
                </c:pt>
                <c:pt idx="55">
                  <c:v>51</c:v>
                </c:pt>
                <c:pt idx="56">
                  <c:v>52</c:v>
                </c:pt>
                <c:pt idx="57">
                  <c:v>53</c:v>
                </c:pt>
                <c:pt idx="58">
                  <c:v>54</c:v>
                </c:pt>
                <c:pt idx="59">
                  <c:v>55</c:v>
                </c:pt>
                <c:pt idx="60">
                  <c:v>56</c:v>
                </c:pt>
                <c:pt idx="61">
                  <c:v>57</c:v>
                </c:pt>
                <c:pt idx="62">
                  <c:v>58</c:v>
                </c:pt>
                <c:pt idx="63">
                  <c:v>59</c:v>
                </c:pt>
                <c:pt idx="64">
                  <c:v>60</c:v>
                </c:pt>
              </c:numCache>
            </c:numRef>
          </c:xVal>
          <c:yVal>
            <c:numRef>
              <c:f>BW!$I$14:$I$78</c:f>
              <c:numCache>
                <c:formatCode>General</c:formatCode>
                <c:ptCount val="65"/>
                <c:pt idx="0">
                  <c:v>6.9154266062882783</c:v>
                </c:pt>
                <c:pt idx="1">
                  <c:v>11.309331187867842</c:v>
                </c:pt>
                <c:pt idx="4">
                  <c:v>14.288178836856385</c:v>
                </c:pt>
                <c:pt idx="5">
                  <c:v>16.610251292594278</c:v>
                </c:pt>
                <c:pt idx="6">
                  <c:v>18.682376582644302</c:v>
                </c:pt>
                <c:pt idx="8">
                  <c:v>20.785450437307787</c:v>
                </c:pt>
                <c:pt idx="9">
                  <c:v>23.154945076267232</c:v>
                </c:pt>
                <c:pt idx="10">
                  <c:v>26.000889857451373</c:v>
                </c:pt>
                <c:pt idx="11">
                  <c:v>29.485124650497674</c:v>
                </c:pt>
                <c:pt idx="12">
                  <c:v>33.663180306011462</c:v>
                </c:pt>
                <c:pt idx="13">
                  <c:v>38.417786492455321</c:v>
                </c:pt>
                <c:pt idx="15">
                  <c:v>43.440691530917817</c:v>
                </c:pt>
                <c:pt idx="16">
                  <c:v>48.31089938644034</c:v>
                </c:pt>
                <c:pt idx="17">
                  <c:v>52.643053336574667</c:v>
                </c:pt>
                <c:pt idx="18">
                  <c:v>56.20971903544342</c:v>
                </c:pt>
                <c:pt idx="19">
                  <c:v>58.967650155819811</c:v>
                </c:pt>
                <c:pt idx="20">
                  <c:v>61.004288259289723</c:v>
                </c:pt>
                <c:pt idx="21">
                  <c:v>62.463817521092977</c:v>
                </c:pt>
                <c:pt idx="22">
                  <c:v>63.493284387505163</c:v>
                </c:pt>
                <c:pt idx="23">
                  <c:v>64.21663731687326</c:v>
                </c:pt>
                <c:pt idx="24">
                  <c:v>64.728212344405605</c:v>
                </c:pt>
                <c:pt idx="25">
                  <c:v>65.095621974779874</c:v>
                </c:pt>
                <c:pt idx="26">
                  <c:v>65.365594049919366</c:v>
                </c:pt>
                <c:pt idx="27">
                  <c:v>65.192257910429959</c:v>
                </c:pt>
                <c:pt idx="28">
                  <c:v>65.832167924895558</c:v>
                </c:pt>
                <c:pt idx="29">
                  <c:v>66.446464660817369</c:v>
                </c:pt>
                <c:pt idx="30">
                  <c:v>67.035210392081638</c:v>
                </c:pt>
                <c:pt idx="31">
                  <c:v>67.598467392574491</c:v>
                </c:pt>
                <c:pt idx="32">
                  <c:v>68.136297936182117</c:v>
                </c:pt>
                <c:pt idx="33">
                  <c:v>68.648764296790745</c:v>
                </c:pt>
                <c:pt idx="34">
                  <c:v>69.135928748286503</c:v>
                </c:pt>
                <c:pt idx="35">
                  <c:v>69.597853564555564</c:v>
                </c:pt>
                <c:pt idx="36">
                  <c:v>70.034601019484171</c:v>
                </c:pt>
                <c:pt idx="37">
                  <c:v>70.446233386958426</c:v>
                </c:pt>
                <c:pt idx="38">
                  <c:v>70.832812940864571</c:v>
                </c:pt>
                <c:pt idx="39">
                  <c:v>71.194401955088779</c:v>
                </c:pt>
                <c:pt idx="40">
                  <c:v>71.531062703517208</c:v>
                </c:pt>
                <c:pt idx="41">
                  <c:v>71.842857460036043</c:v>
                </c:pt>
                <c:pt idx="42">
                  <c:v>72.129848498531473</c:v>
                </c:pt>
                <c:pt idx="43">
                  <c:v>72.392098092889682</c:v>
                </c:pt>
                <c:pt idx="44">
                  <c:v>72.629668516996844</c:v>
                </c:pt>
                <c:pt idx="45">
                  <c:v>72.842622044739144</c:v>
                </c:pt>
                <c:pt idx="46">
                  <c:v>73.031020950002755</c:v>
                </c:pt>
                <c:pt idx="47">
                  <c:v>73.194927506673878</c:v>
                </c:pt>
                <c:pt idx="48">
                  <c:v>73.33440398863867</c:v>
                </c:pt>
                <c:pt idx="49">
                  <c:v>73.449512669783303</c:v>
                </c:pt>
                <c:pt idx="50">
                  <c:v>73.540315823993993</c:v>
                </c:pt>
                <c:pt idx="51">
                  <c:v>73.606875725156897</c:v>
                </c:pt>
                <c:pt idx="52">
                  <c:v>73.649254647158202</c:v>
                </c:pt>
                <c:pt idx="53">
                  <c:v>73.66751486388408</c:v>
                </c:pt>
                <c:pt idx="54">
                  <c:v>73.661718649220745</c:v>
                </c:pt>
                <c:pt idx="55">
                  <c:v>73.631928277054314</c:v>
                </c:pt>
                <c:pt idx="56">
                  <c:v>73.578206021271058</c:v>
                </c:pt>
                <c:pt idx="57">
                  <c:v>73.500614155757063</c:v>
                </c:pt>
                <c:pt idx="58">
                  <c:v>73.399214954398587</c:v>
                </c:pt>
                <c:pt idx="59">
                  <c:v>73.274070691081775</c:v>
                </c:pt>
                <c:pt idx="60">
                  <c:v>73.125243639692783</c:v>
                </c:pt>
                <c:pt idx="61">
                  <c:v>72.952796074117813</c:v>
                </c:pt>
                <c:pt idx="62">
                  <c:v>72.756790268243094</c:v>
                </c:pt>
                <c:pt idx="63">
                  <c:v>72.537288495954741</c:v>
                </c:pt>
                <c:pt idx="64">
                  <c:v>72.294353031138954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02-40E4-B024-EAF8790FD228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BW!$B$14:$B$78</c:f>
              <c:numCache>
                <c:formatCode>General</c:formatCode>
                <c:ptCount val="6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1.9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10.3</c:v>
                </c:pt>
                <c:pt idx="15">
                  <c:v>11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24</c:v>
                </c:pt>
                <c:pt idx="29">
                  <c:v>25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32</c:v>
                </c:pt>
                <c:pt idx="37">
                  <c:v>33</c:v>
                </c:pt>
                <c:pt idx="38">
                  <c:v>34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38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42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46</c:v>
                </c:pt>
                <c:pt idx="51">
                  <c:v>47</c:v>
                </c:pt>
                <c:pt idx="52">
                  <c:v>48</c:v>
                </c:pt>
                <c:pt idx="53">
                  <c:v>49</c:v>
                </c:pt>
                <c:pt idx="54">
                  <c:v>50</c:v>
                </c:pt>
                <c:pt idx="55">
                  <c:v>51</c:v>
                </c:pt>
                <c:pt idx="56">
                  <c:v>52</c:v>
                </c:pt>
                <c:pt idx="57">
                  <c:v>53</c:v>
                </c:pt>
                <c:pt idx="58">
                  <c:v>54</c:v>
                </c:pt>
                <c:pt idx="59">
                  <c:v>55</c:v>
                </c:pt>
                <c:pt idx="60">
                  <c:v>56</c:v>
                </c:pt>
                <c:pt idx="61">
                  <c:v>57</c:v>
                </c:pt>
                <c:pt idx="62">
                  <c:v>58</c:v>
                </c:pt>
                <c:pt idx="63">
                  <c:v>59</c:v>
                </c:pt>
                <c:pt idx="64">
                  <c:v>60</c:v>
                </c:pt>
              </c:numCache>
            </c:numRef>
          </c:xVal>
          <c:yVal>
            <c:numRef>
              <c:f>BW!$J$14:$J$78</c:f>
              <c:numCache>
                <c:formatCode>0.00</c:formatCode>
                <c:ptCount val="65"/>
                <c:pt idx="4">
                  <c:v>13.7</c:v>
                </c:pt>
                <c:pt idx="5">
                  <c:v>15.6</c:v>
                </c:pt>
                <c:pt idx="6">
                  <c:v>17.8</c:v>
                </c:pt>
                <c:pt idx="8">
                  <c:v>20.5</c:v>
                </c:pt>
                <c:pt idx="9">
                  <c:v>22.15</c:v>
                </c:pt>
                <c:pt idx="10">
                  <c:v>26.8</c:v>
                </c:pt>
                <c:pt idx="11">
                  <c:v>29.9</c:v>
                </c:pt>
                <c:pt idx="12">
                  <c:v>35.9</c:v>
                </c:pt>
                <c:pt idx="13">
                  <c:v>43.4</c:v>
                </c:pt>
                <c:pt idx="15">
                  <c:v>49.4</c:v>
                </c:pt>
                <c:pt idx="16">
                  <c:v>50.45</c:v>
                </c:pt>
                <c:pt idx="17">
                  <c:v>54.2</c:v>
                </c:pt>
                <c:pt idx="18">
                  <c:v>54.55</c:v>
                </c:pt>
                <c:pt idx="19">
                  <c:v>59.6</c:v>
                </c:pt>
                <c:pt idx="20">
                  <c:v>58.6</c:v>
                </c:pt>
                <c:pt idx="21">
                  <c:v>62.9</c:v>
                </c:pt>
                <c:pt idx="22">
                  <c:v>63.2</c:v>
                </c:pt>
                <c:pt idx="23">
                  <c:v>64.5</c:v>
                </c:pt>
                <c:pt idx="24">
                  <c:v>67.7</c:v>
                </c:pt>
                <c:pt idx="25">
                  <c:v>62</c:v>
                </c:pt>
                <c:pt idx="26">
                  <c:v>65.099999999999994</c:v>
                </c:pt>
                <c:pt idx="27">
                  <c:v>68.599999999999994</c:v>
                </c:pt>
                <c:pt idx="28">
                  <c:v>70.45</c:v>
                </c:pt>
                <c:pt idx="29">
                  <c:v>61.2</c:v>
                </c:pt>
                <c:pt idx="30">
                  <c:v>67.5</c:v>
                </c:pt>
                <c:pt idx="31">
                  <c:v>69.55</c:v>
                </c:pt>
                <c:pt idx="32">
                  <c:v>81</c:v>
                </c:pt>
                <c:pt idx="33">
                  <c:v>71.05</c:v>
                </c:pt>
                <c:pt idx="34">
                  <c:v>75.349999999999994</c:v>
                </c:pt>
                <c:pt idx="35">
                  <c:v>74.5</c:v>
                </c:pt>
                <c:pt idx="36">
                  <c:v>74.099999999999994</c:v>
                </c:pt>
                <c:pt idx="37">
                  <c:v>73.900000000000006</c:v>
                </c:pt>
                <c:pt idx="38">
                  <c:v>71</c:v>
                </c:pt>
                <c:pt idx="39">
                  <c:v>75.5</c:v>
                </c:pt>
                <c:pt idx="40">
                  <c:v>75.45</c:v>
                </c:pt>
                <c:pt idx="41">
                  <c:v>66.55</c:v>
                </c:pt>
                <c:pt idx="42">
                  <c:v>76.650000000000006</c:v>
                </c:pt>
                <c:pt idx="43">
                  <c:v>71.55</c:v>
                </c:pt>
                <c:pt idx="44">
                  <c:v>74.7</c:v>
                </c:pt>
                <c:pt idx="45">
                  <c:v>73</c:v>
                </c:pt>
                <c:pt idx="46">
                  <c:v>72.099999999999994</c:v>
                </c:pt>
                <c:pt idx="47">
                  <c:v>75.05</c:v>
                </c:pt>
                <c:pt idx="48">
                  <c:v>76.900000000000006</c:v>
                </c:pt>
                <c:pt idx="49">
                  <c:v>80.75</c:v>
                </c:pt>
                <c:pt idx="50">
                  <c:v>81.05</c:v>
                </c:pt>
                <c:pt idx="51">
                  <c:v>71.25</c:v>
                </c:pt>
                <c:pt idx="52">
                  <c:v>76.3</c:v>
                </c:pt>
                <c:pt idx="53">
                  <c:v>77.7</c:v>
                </c:pt>
                <c:pt idx="54">
                  <c:v>80.2</c:v>
                </c:pt>
                <c:pt idx="55">
                  <c:v>68.8</c:v>
                </c:pt>
                <c:pt idx="56">
                  <c:v>73.75</c:v>
                </c:pt>
                <c:pt idx="57">
                  <c:v>71.25</c:v>
                </c:pt>
                <c:pt idx="58">
                  <c:v>75.099999999999994</c:v>
                </c:pt>
                <c:pt idx="59">
                  <c:v>74.599999999999994</c:v>
                </c:pt>
                <c:pt idx="60">
                  <c:v>74</c:v>
                </c:pt>
                <c:pt idx="61">
                  <c:v>65.3</c:v>
                </c:pt>
                <c:pt idx="62">
                  <c:v>80.7</c:v>
                </c:pt>
                <c:pt idx="63">
                  <c:v>82.6</c:v>
                </c:pt>
                <c:pt idx="64">
                  <c:v>73.2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D0-4D4C-A62E-B51E69D23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003104"/>
        <c:axId val="421007368"/>
      </c:scatterChart>
      <c:valAx>
        <c:axId val="42100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007368"/>
        <c:crosses val="autoZero"/>
        <c:crossBetween val="midCat"/>
      </c:valAx>
      <c:valAx>
        <c:axId val="42100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BW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003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VLIV (L)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Vol'!$B$12:$B$75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'Liver Vol'!$E$12:$E$75</c:f>
              <c:numCache>
                <c:formatCode>0.000</c:formatCode>
                <c:ptCount val="64"/>
                <c:pt idx="0">
                  <c:v>0.22650086457101268</c:v>
                </c:pt>
                <c:pt idx="1">
                  <c:v>0.28689840732054822</c:v>
                </c:pt>
                <c:pt idx="2">
                  <c:v>0.33220965350981047</c:v>
                </c:pt>
                <c:pt idx="3">
                  <c:v>0.36870487419596387</c:v>
                </c:pt>
                <c:pt idx="4">
                  <c:v>0.42510867426276205</c:v>
                </c:pt>
                <c:pt idx="5">
                  <c:v>0.47057915059541722</c:v>
                </c:pt>
                <c:pt idx="6">
                  <c:v>0.49168280712233592</c:v>
                </c:pt>
                <c:pt idx="7">
                  <c:v>0.51279967223096568</c:v>
                </c:pt>
                <c:pt idx="8">
                  <c:v>0.55707625258222793</c:v>
                </c:pt>
                <c:pt idx="9">
                  <c:v>0.60764724986063301</c:v>
                </c:pt>
                <c:pt idx="10">
                  <c:v>0.66774673258164929</c:v>
                </c:pt>
                <c:pt idx="11">
                  <c:v>0.73890179620578278</c:v>
                </c:pt>
                <c:pt idx="12">
                  <c:v>0.81992237166431758</c:v>
                </c:pt>
                <c:pt idx="13">
                  <c:v>0.84551735726501287</c:v>
                </c:pt>
                <c:pt idx="14">
                  <c:v>0.90641873541791873</c:v>
                </c:pt>
                <c:pt idx="15">
                  <c:v>0.99170956461957716</c:v>
                </c:pt>
                <c:pt idx="16">
                  <c:v>1.0690561313321774</c:v>
                </c:pt>
                <c:pt idx="17">
                  <c:v>1.133910465242616</c:v>
                </c:pt>
                <c:pt idx="18">
                  <c:v>1.1848101136009463</c:v>
                </c:pt>
                <c:pt idx="19">
                  <c:v>1.222787225320205</c:v>
                </c:pt>
                <c:pt idx="20">
                  <c:v>1.2501544324810225</c:v>
                </c:pt>
                <c:pt idx="21">
                  <c:v>1.2694776351111658</c:v>
                </c:pt>
                <c:pt idx="22">
                  <c:v>1.2830125884815935</c:v>
                </c:pt>
                <c:pt idx="23">
                  <c:v>1.2925183027794156</c:v>
                </c:pt>
                <c:pt idx="24">
                  <c:v>1.2992739661272272</c:v>
                </c:pt>
                <c:pt idx="25">
                  <c:v>1.3055007135416143</c:v>
                </c:pt>
                <c:pt idx="26">
                  <c:v>1.3226455686300818</c:v>
                </c:pt>
                <c:pt idx="27">
                  <c:v>1.3310549175399815</c:v>
                </c:pt>
                <c:pt idx="28">
                  <c:v>1.3390956828126408</c:v>
                </c:pt>
                <c:pt idx="29">
                  <c:v>1.3467737542515421</c:v>
                </c:pt>
                <c:pt idx="30">
                  <c:v>1.3540946812678898</c:v>
                </c:pt>
                <c:pt idx="31">
                  <c:v>1.3610636977530599</c:v>
                </c:pt>
                <c:pt idx="32">
                  <c:v>1.3676857410376875</c:v>
                </c:pt>
                <c:pt idx="33">
                  <c:v>1.3739654681651625</c:v>
                </c:pt>
                <c:pt idx="34">
                  <c:v>1.3799072704846345</c:v>
                </c:pt>
                <c:pt idx="35">
                  <c:v>1.3855152869300906</c:v>
                </c:pt>
                <c:pt idx="36">
                  <c:v>1.3907934161623623</c:v>
                </c:pt>
                <c:pt idx="37">
                  <c:v>1.3957453276892584</c:v>
                </c:pt>
                <c:pt idx="38">
                  <c:v>1.4003744720543336</c:v>
                </c:pt>
                <c:pt idx="39">
                  <c:v>1.4046840901715929</c:v>
                </c:pt>
                <c:pt idx="40">
                  <c:v>1.4086772218739987</c:v>
                </c:pt>
                <c:pt idx="41">
                  <c:v>1.4123567137360509</c:v>
                </c:pt>
                <c:pt idx="42">
                  <c:v>1.415725226224108</c:v>
                </c:pt>
                <c:pt idx="43">
                  <c:v>1.4187852402222945</c:v>
                </c:pt>
                <c:pt idx="44">
                  <c:v>1.4215390629766353</c:v>
                </c:pt>
                <c:pt idx="45">
                  <c:v>1.4239888334953752</c:v>
                </c:pt>
                <c:pt idx="46">
                  <c:v>1.426136527439275</c:v>
                </c:pt>
                <c:pt idx="47">
                  <c:v>1.4279839615318157</c:v>
                </c:pt>
                <c:pt idx="48">
                  <c:v>1.429532797515831</c:v>
                </c:pt>
                <c:pt idx="49">
                  <c:v>1.430784545679878</c:v>
                </c:pt>
                <c:pt idx="50">
                  <c:v>1.431740567974785</c:v>
                </c:pt>
                <c:pt idx="51">
                  <c:v>1.4324020807381224</c:v>
                </c:pt>
                <c:pt idx="52">
                  <c:v>1.4327701570418325</c:v>
                </c:pt>
                <c:pt idx="53">
                  <c:v>1.432845728675944</c:v>
                </c:pt>
                <c:pt idx="54">
                  <c:v>1.4326295877790842</c:v>
                </c:pt>
                <c:pt idx="55">
                  <c:v>1.4321223881243954</c:v>
                </c:pt>
                <c:pt idx="56">
                  <c:v>1.4313246460674878</c:v>
                </c:pt>
                <c:pt idx="57">
                  <c:v>1.4302367411610866</c:v>
                </c:pt>
                <c:pt idx="58">
                  <c:v>1.4288589164391596</c:v>
                </c:pt>
                <c:pt idx="59">
                  <c:v>1.4271912783714265</c:v>
                </c:pt>
                <c:pt idx="60">
                  <c:v>1.4252337964872897</c:v>
                </c:pt>
                <c:pt idx="61">
                  <c:v>1.4229863026663478</c:v>
                </c:pt>
                <c:pt idx="62">
                  <c:v>1.420448490090753</c:v>
                </c:pt>
                <c:pt idx="63">
                  <c:v>1.4176199118526938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C-423F-BF3B-096F20657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1592"/>
        <c:axId val="503381984"/>
      </c:scatterChart>
      <c:valAx>
        <c:axId val="503381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1984"/>
        <c:crosses val="autoZero"/>
        <c:crossBetween val="midCat"/>
      </c:valAx>
      <c:valAx>
        <c:axId val="503381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VLIV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1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VLIV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Vol'!$B$12:$B$75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'Liver Vol'!$G$12:$G$75</c:f>
              <c:numCache>
                <c:formatCode>0.000</c:formatCode>
                <c:ptCount val="64"/>
                <c:pt idx="0">
                  <c:v>3.2752985087047701E-2</c:v>
                </c:pt>
                <c:pt idx="1">
                  <c:v>3.0640510013659226E-2</c:v>
                </c:pt>
                <c:pt idx="2">
                  <c:v>2.9399084381399154E-2</c:v>
                </c:pt>
                <c:pt idx="3">
                  <c:v>2.8547382463668763E-2</c:v>
                </c:pt>
                <c:pt idx="4">
                  <c:v>2.7423922722761163E-2</c:v>
                </c:pt>
                <c:pt idx="5">
                  <c:v>2.664905957345557E-2</c:v>
                </c:pt>
                <c:pt idx="6">
                  <c:v>2.6321349417683937E-2</c:v>
                </c:pt>
                <c:pt idx="7">
                  <c:v>2.6011004720139393E-2</c:v>
                </c:pt>
                <c:pt idx="8">
                  <c:v>2.5410465191959539E-2</c:v>
                </c:pt>
                <c:pt idx="9">
                  <c:v>2.4795272026030924E-2</c:v>
                </c:pt>
                <c:pt idx="10">
                  <c:v>2.4144376262766165E-2</c:v>
                </c:pt>
                <c:pt idx="11">
                  <c:v>2.3464580767809551E-2</c:v>
                </c:pt>
                <c:pt idx="12">
                  <c:v>2.2785996485586161E-2</c:v>
                </c:pt>
                <c:pt idx="13">
                  <c:v>2.2589296213331896E-2</c:v>
                </c:pt>
                <c:pt idx="14">
                  <c:v>2.2150470812999739E-2</c:v>
                </c:pt>
                <c:pt idx="15">
                  <c:v>2.1595699299684502E-2</c:v>
                </c:pt>
                <c:pt idx="16">
                  <c:v>2.1143062089021773E-2</c:v>
                </c:pt>
                <c:pt idx="17">
                  <c:v>2.0794740520997956E-2</c:v>
                </c:pt>
                <c:pt idx="18">
                  <c:v>2.0538786983663803E-2</c:v>
                </c:pt>
                <c:pt idx="19">
                  <c:v>2.0356826934547705E-2</c:v>
                </c:pt>
                <c:pt idx="20">
                  <c:v>2.0230135411896635E-2</c:v>
                </c:pt>
                <c:pt idx="21">
                  <c:v>2.0142804444484436E-2</c:v>
                </c:pt>
                <c:pt idx="22">
                  <c:v>2.0082642013787112E-2</c:v>
                </c:pt>
                <c:pt idx="23">
                  <c:v>2.0040873707294446E-2</c:v>
                </c:pt>
                <c:pt idx="24">
                  <c:v>2.0011427845451128E-2</c:v>
                </c:pt>
                <c:pt idx="25">
                  <c:v>1.9984460681445597E-2</c:v>
                </c:pt>
                <c:pt idx="26" formatCode="0.0000">
                  <c:v>2.0391473187140935E-2</c:v>
                </c:pt>
                <c:pt idx="27" formatCode="0.0000">
                  <c:v>2.0316666652380761E-2</c:v>
                </c:pt>
                <c:pt idx="28" formatCode="0.0000">
                  <c:v>2.0245612098828181E-2</c:v>
                </c:pt>
                <c:pt idx="29" formatCode="0.0000">
                  <c:v>2.0178191286864443E-2</c:v>
                </c:pt>
                <c:pt idx="30" formatCode="0.0000">
                  <c:v>2.0114293777865493E-2</c:v>
                </c:pt>
                <c:pt idx="31" formatCode="0.0000">
                  <c:v>2.005381650634842E-2</c:v>
                </c:pt>
                <c:pt idx="32" formatCode="0.0000">
                  <c:v>1.9996663330970877E-2</c:v>
                </c:pt>
                <c:pt idx="33" formatCode="0.0000">
                  <c:v>1.9942744608757012E-2</c:v>
                </c:pt>
                <c:pt idx="34" formatCode="0.0000">
                  <c:v>1.9891976802260167E-2</c:v>
                </c:pt>
                <c:pt idx="35" formatCode="0.0000">
                  <c:v>1.984428211998427E-2</c:v>
                </c:pt>
                <c:pt idx="36" formatCode="0.0000">
                  <c:v>1.9799588188020988E-2</c:v>
                </c:pt>
                <c:pt idx="37" formatCode="0.0000">
                  <c:v>1.975782775042911E-2</c:v>
                </c:pt>
                <c:pt idx="38" formatCode="0.0000">
                  <c:v>1.9718938395965079E-2</c:v>
                </c:pt>
                <c:pt idx="39" formatCode="0.0000">
                  <c:v>1.9682862308979272E-2</c:v>
                </c:pt>
                <c:pt idx="40" formatCode="0.0000">
                  <c:v>1.9649546042511262E-2</c:v>
                </c:pt>
                <c:pt idx="41" formatCode="0.0000">
                  <c:v>1.9618940311823513E-2</c:v>
                </c:pt>
                <c:pt idx="42" formatCode="0.0000">
                  <c:v>1.9590999806800707E-2</c:v>
                </c:pt>
                <c:pt idx="43" formatCode="0.0000">
                  <c:v>1.9565683021810217E-2</c:v>
                </c:pt>
                <c:pt idx="44" formatCode="0.0000">
                  <c:v>1.9542952101772103E-2</c:v>
                </c:pt>
                <c:pt idx="45" formatCode="0.0000">
                  <c:v>1.9522772703323553E-2</c:v>
                </c:pt>
                <c:pt idx="46" formatCode="0.0000">
                  <c:v>1.9505113870087843E-2</c:v>
                </c:pt>
                <c:pt idx="47" formatCode="0.0000">
                  <c:v>1.9489947921170016E-2</c:v>
                </c:pt>
                <c:pt idx="48" formatCode="0.0000">
                  <c:v>1.9477250352104829E-2</c:v>
                </c:pt>
                <c:pt idx="49" formatCode="0.0000">
                  <c:v>1.9466999747576423E-2</c:v>
                </c:pt>
                <c:pt idx="50" formatCode="0.0000">
                  <c:v>1.9459177705316001E-2</c:v>
                </c:pt>
                <c:pt idx="51" formatCode="0.0000">
                  <c:v>1.9453768770663904E-2</c:v>
                </c:pt>
                <c:pt idx="52" formatCode="0.0000">
                  <c:v>1.945076038135693E-2</c:v>
                </c:pt>
                <c:pt idx="53" formatCode="0.0000">
                  <c:v>1.9450142822171709E-2</c:v>
                </c:pt>
                <c:pt idx="54" formatCode="0.0000">
                  <c:v>1.9451909189120955E-2</c:v>
                </c:pt>
                <c:pt idx="55" formatCode="0.0000">
                  <c:v>1.9456055362961577E-2</c:v>
                </c:pt>
                <c:pt idx="56" formatCode="0.0000">
                  <c:v>1.9462579991834428E-2</c:v>
                </c:pt>
                <c:pt idx="57" formatCode="0.0000">
                  <c:v>1.9471484482912974E-2</c:v>
                </c:pt>
                <c:pt idx="58" formatCode="0.0000">
                  <c:v>1.9482773002995276E-2</c:v>
                </c:pt>
                <c:pt idx="59" formatCode="0.0000">
                  <c:v>1.9496452488029638E-2</c:v>
                </c:pt>
                <c:pt idx="60" formatCode="0.0000">
                  <c:v>1.9512532661619952E-2</c:v>
                </c:pt>
                <c:pt idx="61" formatCode="0.0000">
                  <c:v>1.9531026062612939E-2</c:v>
                </c:pt>
                <c:pt idx="62" formatCode="0.0000">
                  <c:v>1.9551948081926653E-2</c:v>
                </c:pt>
                <c:pt idx="63" formatCode="0.0000">
                  <c:v>1.9575317008837804E-2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9-4E90-8A65-7F26E6B46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2768"/>
        <c:axId val="503383160"/>
      </c:scatterChart>
      <c:valAx>
        <c:axId val="50338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3160"/>
        <c:crosses val="autoZero"/>
        <c:crossBetween val="midCat"/>
      </c:valAx>
      <c:valAx>
        <c:axId val="503383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VLIV C</a:t>
                </a:r>
                <a:endParaRPr lang="en-US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2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MVGUT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vol'!$B$7:$B$70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'Gut vol'!$F$7:$F$70</c:f>
              <c:numCache>
                <c:formatCode>0.0000</c:formatCode>
                <c:ptCount val="64"/>
                <c:pt idx="0">
                  <c:v>0.1168528009553538</c:v>
                </c:pt>
                <c:pt idx="1">
                  <c:v>0.15774521921112697</c:v>
                </c:pt>
                <c:pt idx="2">
                  <c:v>0.19279728000000002</c:v>
                </c:pt>
                <c:pt idx="3">
                  <c:v>0.22366432689896434</c:v>
                </c:pt>
                <c:pt idx="4">
                  <c:v>0.27599634850784965</c:v>
                </c:pt>
                <c:pt idx="5">
                  <c:v>0.32559213408943555</c:v>
                </c:pt>
                <c:pt idx="6">
                  <c:v>0.34962974999999996</c:v>
                </c:pt>
                <c:pt idx="7">
                  <c:v>0.37333551218219468</c:v>
                </c:pt>
                <c:pt idx="8">
                  <c:v>0.42153085051595862</c:v>
                </c:pt>
                <c:pt idx="9">
                  <c:v>0.4737283690936071</c:v>
                </c:pt>
                <c:pt idx="10">
                  <c:v>0.53333100386401844</c:v>
                </c:pt>
                <c:pt idx="11">
                  <c:v>0.60333083006856991</c:v>
                </c:pt>
                <c:pt idx="12">
                  <c:v>0.68616742339117998</c:v>
                </c:pt>
                <c:pt idx="13">
                  <c:v>0.71340479999999995</c:v>
                </c:pt>
                <c:pt idx="14">
                  <c:v>0.78007149936358366</c:v>
                </c:pt>
                <c:pt idx="15">
                  <c:v>0.87307867008311391</c:v>
                </c:pt>
                <c:pt idx="16">
                  <c:v>0.9507798666633458</c:v>
                </c:pt>
                <c:pt idx="17">
                  <c:v>1.009910535489611</c:v>
                </c:pt>
                <c:pt idx="18">
                  <c:v>1.0533374569230165</c:v>
                </c:pt>
                <c:pt idx="19">
                  <c:v>1.0844463313624879</c:v>
                </c:pt>
                <c:pt idx="20">
                  <c:v>1.1061006090075189</c:v>
                </c:pt>
                <c:pt idx="21">
                  <c:v>1.12062874744839</c:v>
                </c:pt>
                <c:pt idx="22">
                  <c:v>1.1298576243665832</c:v>
                </c:pt>
                <c:pt idx="23">
                  <c:v>1.1351658513473675</c:v>
                </c:pt>
                <c:pt idx="24">
                  <c:v>1.1375620912566307</c:v>
                </c:pt>
                <c:pt idx="25">
                  <c:v>1.1387826437332129</c:v>
                </c:pt>
                <c:pt idx="26">
                  <c:v>1.1290013743049454</c:v>
                </c:pt>
                <c:pt idx="27">
                  <c:v>1.1318788701754356</c:v>
                </c:pt>
                <c:pt idx="28">
                  <c:v>1.1337914049148705</c:v>
                </c:pt>
                <c:pt idx="29">
                  <c:v>1.1391351455946044</c:v>
                </c:pt>
                <c:pt idx="30">
                  <c:v>1.1441587659915651</c:v>
                </c:pt>
                <c:pt idx="31">
                  <c:v>1.148869343667877</c:v>
                </c:pt>
                <c:pt idx="32">
                  <c:v>1.1532735353161705</c:v>
                </c:pt>
                <c:pt idx="33">
                  <c:v>1.1573776024550462</c:v>
                </c:pt>
                <c:pt idx="34">
                  <c:v>1.1611874354333591</c:v>
                </c:pt>
                <c:pt idx="35">
                  <c:v>1.164708576065955</c:v>
                </c:pt>
                <c:pt idx="36">
                  <c:v>1.1679462390056194</c:v>
                </c:pt>
                <c:pt idx="37">
                  <c:v>1.1709053318940443</c:v>
                </c:pt>
                <c:pt idx="38">
                  <c:v>1.1735904743169094</c:v>
                </c:pt>
                <c:pt idx="39">
                  <c:v>1.1760060155831105</c:v>
                </c:pt>
                <c:pt idx="40">
                  <c:v>1.1781560513465981</c:v>
                </c:pt>
                <c:pt idx="41">
                  <c:v>1.1800444390888121</c:v>
                </c:pt>
                <c:pt idx="42">
                  <c:v>1.1816748124794381</c:v>
                </c:pt>
                <c:pt idx="43">
                  <c:v>1.1830505946330878</c:v>
                </c:pt>
                <c:pt idx="44">
                  <c:v>1.1841750102793678</c:v>
                </c:pt>
                <c:pt idx="45">
                  <c:v>1.1850510968636836</c:v>
                </c:pt>
                <c:pt idx="46">
                  <c:v>1.1856817145960254</c:v>
                </c:pt>
                <c:pt idx="47">
                  <c:v>1.1860695554648486</c:v>
                </c:pt>
                <c:pt idx="48">
                  <c:v>1.1862171512330666</c:v>
                </c:pt>
                <c:pt idx="49">
                  <c:v>1.1861268804330392</c:v>
                </c:pt>
                <c:pt idx="50">
                  <c:v>1.1858009743773523</c:v>
                </c:pt>
                <c:pt idx="51">
                  <c:v>1.1852415222020498</c:v>
                </c:pt>
                <c:pt idx="52">
                  <c:v>1.184450474958878</c:v>
                </c:pt>
                <c:pt idx="53">
                  <c:v>1.1834296487729854</c:v>
                </c:pt>
                <c:pt idx="54">
                  <c:v>1.182180727082415</c:v>
                </c:pt>
                <c:pt idx="55">
                  <c:v>1.1807052619756073</c:v>
                </c:pt>
                <c:pt idx="56">
                  <c:v>1.1790046746430232</c:v>
                </c:pt>
                <c:pt idx="57">
                  <c:v>1.1770802549588901</c:v>
                </c:pt>
                <c:pt idx="58">
                  <c:v>1.1749331602089563</c:v>
                </c:pt>
                <c:pt idx="59">
                  <c:v>1.172564412980033</c:v>
                </c:pt>
                <c:pt idx="60">
                  <c:v>1.1699748982269922</c:v>
                </c:pt>
                <c:pt idx="61">
                  <c:v>1.1671653595327773</c:v>
                </c:pt>
                <c:pt idx="62">
                  <c:v>1.1641363945768755</c:v>
                </c:pt>
                <c:pt idx="63">
                  <c:v>1.1608884498275898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E3-4359-8D62-DA962A98D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540912"/>
        <c:axId val="112531728"/>
      </c:scatterChart>
      <c:valAx>
        <c:axId val="11254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31728"/>
        <c:crosses val="autoZero"/>
        <c:crossBetween val="midCat"/>
      </c:valAx>
      <c:valAx>
        <c:axId val="11253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40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MVGUTC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vol'!$B$7:$B$70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'Gut vol'!$G$7:$G$70</c:f>
              <c:numCache>
                <c:formatCode>General</c:formatCode>
                <c:ptCount val="64"/>
                <c:pt idx="0">
                  <c:v>1.6897410322557625E-2</c:v>
                </c:pt>
                <c:pt idx="1">
                  <c:v>1.6847057514143365E-2</c:v>
                </c:pt>
                <c:pt idx="2">
                  <c:v>1.7061706194690267E-2</c:v>
                </c:pt>
                <c:pt idx="3">
                  <c:v>1.7317457756390212E-2</c:v>
                </c:pt>
                <c:pt idx="4">
                  <c:v>1.7804629713495675E-2</c:v>
                </c:pt>
                <c:pt idx="5">
                  <c:v>1.8438394831176361E-2</c:v>
                </c:pt>
                <c:pt idx="6">
                  <c:v>1.8716796038543895E-2</c:v>
                </c:pt>
                <c:pt idx="7">
                  <c:v>1.8936891529823273E-2</c:v>
                </c:pt>
                <c:pt idx="8">
                  <c:v>1.9227699896957665E-2</c:v>
                </c:pt>
                <c:pt idx="9">
                  <c:v>1.933066228937599E-2</c:v>
                </c:pt>
                <c:pt idx="10">
                  <c:v>1.9284174375674864E-2</c:v>
                </c:pt>
                <c:pt idx="11">
                  <c:v>1.9159386354923497E-2</c:v>
                </c:pt>
                <c:pt idx="12">
                  <c:v>1.9068888760991425E-2</c:v>
                </c:pt>
                <c:pt idx="13">
                  <c:v>1.9059706118087095E-2</c:v>
                </c:pt>
                <c:pt idx="14">
                  <c:v>1.9062879333290997E-2</c:v>
                </c:pt>
                <c:pt idx="15">
                  <c:v>1.9012365209279913E-2</c:v>
                </c:pt>
                <c:pt idx="16">
                  <c:v>1.8803874899257972E-2</c:v>
                </c:pt>
                <c:pt idx="17">
                  <c:v>1.8520710566363049E-2</c:v>
                </c:pt>
                <c:pt idx="18">
                  <c:v>1.8259696977014989E-2</c:v>
                </c:pt>
                <c:pt idx="19">
                  <c:v>1.8053742981793453E-2</c:v>
                </c:pt>
                <c:pt idx="20">
                  <c:v>1.78990407249091E-2</c:v>
                </c:pt>
                <c:pt idx="21">
                  <c:v>1.7781018814674757E-2</c:v>
                </c:pt>
                <c:pt idx="22">
                  <c:v>1.7685349621982736E-2</c:v>
                </c:pt>
                <c:pt idx="23">
                  <c:v>1.7601078000029292E-2</c:v>
                </c:pt>
                <c:pt idx="24">
                  <c:v>1.7520740276784273E-2</c:v>
                </c:pt>
                <c:pt idx="25">
                  <c:v>1.7432358889073581E-2</c:v>
                </c:pt>
                <c:pt idx="26">
                  <c:v>1.7406024560479488E-2</c:v>
                </c:pt>
                <c:pt idx="27">
                  <c:v>1.7276526605474896E-2</c:v>
                </c:pt>
                <c:pt idx="28">
                  <c:v>1.7141643632722806E-2</c:v>
                </c:pt>
                <c:pt idx="29">
                  <c:v>1.7067222164699965E-2</c:v>
                </c:pt>
                <c:pt idx="30">
                  <c:v>1.6995817106471148E-2</c:v>
                </c:pt>
                <c:pt idx="31">
                  <c:v>1.6927359862524666E-2</c:v>
                </c:pt>
                <c:pt idx="32">
                  <c:v>1.686178478159665E-2</c:v>
                </c:pt>
                <c:pt idx="33">
                  <c:v>1.6799029143345193E-2</c:v>
                </c:pt>
                <c:pt idx="34">
                  <c:v>1.6739033138512299E-2</c:v>
                </c:pt>
                <c:pt idx="35">
                  <c:v>1.6681739847294937E-2</c:v>
                </c:pt>
                <c:pt idx="36">
                  <c:v>1.6627095217252297E-2</c:v>
                </c:pt>
                <c:pt idx="37">
                  <c:v>1.6575048041122378E-2</c:v>
                </c:pt>
                <c:pt idx="38">
                  <c:v>1.6525549934652536E-2</c:v>
                </c:pt>
                <c:pt idx="39">
                  <c:v>1.6478555314473658E-2</c:v>
                </c:pt>
                <c:pt idx="40">
                  <c:v>1.6434021376026019E-2</c:v>
                </c:pt>
                <c:pt idx="41">
                  <c:v>1.6391908071539278E-2</c:v>
                </c:pt>
                <c:pt idx="42">
                  <c:v>1.6352178088067267E-2</c:v>
                </c:pt>
                <c:pt idx="43">
                  <c:v>1.6314796825577633E-2</c:v>
                </c:pt>
                <c:pt idx="44">
                  <c:v>1.627973237509657E-2</c:v>
                </c:pt>
                <c:pt idx="45">
                  <c:v>1.6246955496908463E-2</c:v>
                </c:pt>
                <c:pt idx="46">
                  <c:v>1.621643959881058E-2</c:v>
                </c:pt>
                <c:pt idx="47">
                  <c:v>1.6188160714422795E-2</c:v>
                </c:pt>
                <c:pt idx="48">
                  <c:v>1.6162097481552305E-2</c:v>
                </c:pt>
                <c:pt idx="49">
                  <c:v>1.613823112061331E-2</c:v>
                </c:pt>
                <c:pt idx="50">
                  <c:v>1.6116545413101785E-2</c:v>
                </c:pt>
                <c:pt idx="51">
                  <c:v>1.6097026680125186E-2</c:v>
                </c:pt>
                <c:pt idx="52">
                  <c:v>1.6079663760987236E-2</c:v>
                </c:pt>
                <c:pt idx="53">
                  <c:v>1.6064447991827633E-2</c:v>
                </c:pt>
                <c:pt idx="54">
                  <c:v>1.6051373184316868E-2</c:v>
                </c:pt>
                <c:pt idx="55">
                  <c:v>1.6040435604405975E-2</c:v>
                </c:pt>
                <c:pt idx="56">
                  <c:v>1.6031633951131323E-2</c:v>
                </c:pt>
                <c:pt idx="57">
                  <c:v>1.6024969335474419E-2</c:v>
                </c:pt>
                <c:pt idx="58">
                  <c:v>1.6020445259276702E-2</c:v>
                </c:pt>
                <c:pt idx="59">
                  <c:v>1.6018067594209359E-2</c:v>
                </c:pt>
                <c:pt idx="60">
                  <c:v>1.6017844560798175E-2</c:v>
                </c:pt>
                <c:pt idx="61">
                  <c:v>1.6019786707503335E-2</c:v>
                </c:pt>
                <c:pt idx="62">
                  <c:v>1.6023906889854295E-2</c:v>
                </c:pt>
                <c:pt idx="63">
                  <c:v>1.6030220249639609E-2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CB-4D53-9F86-513123298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974824"/>
        <c:axId val="603975152"/>
      </c:scatterChart>
      <c:valAx>
        <c:axId val="603974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975152"/>
        <c:crosses val="autoZero"/>
        <c:crossBetween val="midCat"/>
      </c:valAx>
      <c:valAx>
        <c:axId val="60397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3974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VRapC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 Vol'!$B$7:$B$70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 Vol'!$F$7:$F$70</c:f>
              <c:numCache>
                <c:formatCode>General</c:formatCode>
                <c:ptCount val="64"/>
                <c:pt idx="0">
                  <c:v>4.1635219034781991E-2</c:v>
                </c:pt>
                <c:pt idx="1">
                  <c:v>4.1511149714849246E-2</c:v>
                </c:pt>
                <c:pt idx="2">
                  <c:v>5.9702938053097343E-2</c:v>
                </c:pt>
                <c:pt idx="3">
                  <c:v>4.2670215911745482E-2</c:v>
                </c:pt>
                <c:pt idx="4">
                  <c:v>4.3870607614053342E-2</c:v>
                </c:pt>
                <c:pt idx="5">
                  <c:v>4.5432204864018548E-2</c:v>
                </c:pt>
                <c:pt idx="6">
                  <c:v>4.6118218415417557E-2</c:v>
                </c:pt>
                <c:pt idx="7">
                  <c:v>4.6660500729484543E-2</c:v>
                </c:pt>
                <c:pt idx="8">
                  <c:v>4.7377052546103686E-2</c:v>
                </c:pt>
                <c:pt idx="9">
                  <c:v>4.7630751881022435E-2</c:v>
                </c:pt>
                <c:pt idx="10">
                  <c:v>4.7516205661662855E-2</c:v>
                </c:pt>
                <c:pt idx="11">
                  <c:v>4.7208727978531505E-2</c:v>
                </c:pt>
                <c:pt idx="12">
                  <c:v>4.6980412168830719E-2</c:v>
                </c:pt>
                <c:pt idx="13">
                  <c:v>4.6962799893133851E-2</c:v>
                </c:pt>
                <c:pt idx="14">
                  <c:v>4.6970934677229015E-2</c:v>
                </c:pt>
                <c:pt idx="15">
                  <c:v>4.6846467875665709E-2</c:v>
                </c:pt>
                <c:pt idx="16">
                  <c:v>4.6332747751771639E-2</c:v>
                </c:pt>
                <c:pt idx="17">
                  <c:v>4.5635030835518557E-2</c:v>
                </c:pt>
                <c:pt idx="18">
                  <c:v>4.4991893351364928E-2</c:v>
                </c:pt>
                <c:pt idx="19">
                  <c:v>4.4484422707139065E-2</c:v>
                </c:pt>
                <c:pt idx="20">
                  <c:v>4.4103236346176015E-2</c:v>
                </c:pt>
                <c:pt idx="21">
                  <c:v>4.3812430359358598E-2</c:v>
                </c:pt>
                <c:pt idx="22">
                  <c:v>4.357670146856546E-2</c:v>
                </c:pt>
                <c:pt idx="23">
                  <c:v>4.3369056192072181E-2</c:v>
                </c:pt>
                <c:pt idx="24">
                  <c:v>4.317110404199645E-2</c:v>
                </c:pt>
                <c:pt idx="25">
                  <c:v>4.2953332302677297E-2</c:v>
                </c:pt>
                <c:pt idx="26">
                  <c:v>4.2888444517021458E-2</c:v>
                </c:pt>
                <c:pt idx="27">
                  <c:v>4.2569361555890146E-2</c:v>
                </c:pt>
                <c:pt idx="28">
                  <c:v>4.2237009911028994E-2</c:v>
                </c:pt>
                <c:pt idx="29">
                  <c:v>4.205363541382072E-2</c:v>
                </c:pt>
                <c:pt idx="30">
                  <c:v>4.1877693350344906E-2</c:v>
                </c:pt>
                <c:pt idx="31">
                  <c:v>4.1709014701260774E-2</c:v>
                </c:pt>
                <c:pt idx="32">
                  <c:v>4.1547437701854144E-2</c:v>
                </c:pt>
                <c:pt idx="33">
                  <c:v>4.1392807809202563E-2</c:v>
                </c:pt>
                <c:pt idx="34">
                  <c:v>4.124497765329431E-2</c:v>
                </c:pt>
                <c:pt idx="35">
                  <c:v>4.1103806983734725E-2</c:v>
                </c:pt>
                <c:pt idx="36">
                  <c:v>4.0969162615309661E-2</c:v>
                </c:pt>
                <c:pt idx="37">
                  <c:v>4.0840918373325541E-2</c:v>
                </c:pt>
                <c:pt idx="38">
                  <c:v>4.0718955038983852E-2</c:v>
                </c:pt>
                <c:pt idx="39">
                  <c:v>4.0603160294863092E-2</c:v>
                </c:pt>
                <c:pt idx="40">
                  <c:v>4.049342867052811E-2</c:v>
                </c:pt>
                <c:pt idx="41">
                  <c:v>4.0389661488272784E-2</c:v>
                </c:pt>
                <c:pt idx="42">
                  <c:v>4.0291766808997743E-2</c:v>
                </c:pt>
                <c:pt idx="43">
                  <c:v>4.0199659378223285E-2</c:v>
                </c:pt>
                <c:pt idx="44">
                  <c:v>4.0113260572237949E-2</c:v>
                </c:pt>
                <c:pt idx="45">
                  <c:v>4.0032498344382453E-2</c:v>
                </c:pt>
                <c:pt idx="46">
                  <c:v>3.9957307171469274E-2</c:v>
                </c:pt>
                <c:pt idx="47">
                  <c:v>3.9887628000337773E-2</c:v>
                </c:pt>
                <c:pt idx="48">
                  <c:v>3.9823408194544878E-2</c:v>
                </c:pt>
                <c:pt idx="49">
                  <c:v>3.9764601481191195E-2</c:v>
                </c:pt>
                <c:pt idx="50">
                  <c:v>3.9711167897882794E-2</c:v>
                </c:pt>
                <c:pt idx="51">
                  <c:v>3.9663073739828456E-2</c:v>
                </c:pt>
                <c:pt idx="52">
                  <c:v>3.9620291507072546E-2</c:v>
                </c:pt>
                <c:pt idx="53">
                  <c:v>3.958279985186329E-2</c:v>
                </c:pt>
                <c:pt idx="54">
                  <c:v>3.9550583526156757E-2</c:v>
                </c:pt>
                <c:pt idx="55">
                  <c:v>3.9523633329256326E-2</c:v>
                </c:pt>
                <c:pt idx="56">
                  <c:v>3.9501946055587579E-2</c:v>
                </c:pt>
                <c:pt idx="57">
                  <c:v>3.9485524442608964E-2</c:v>
                </c:pt>
                <c:pt idx="58">
                  <c:v>3.947437711885779E-2</c:v>
                </c:pt>
                <c:pt idx="59">
                  <c:v>3.9468518552131862E-2</c:v>
                </c:pt>
                <c:pt idx="60">
                  <c:v>3.9467968997806697E-2</c:v>
                </c:pt>
                <c:pt idx="61">
                  <c:v>3.9472754447288212E-2</c:v>
                </c:pt>
                <c:pt idx="62">
                  <c:v>3.948290657660098E-2</c:v>
                </c:pt>
                <c:pt idx="63">
                  <c:v>3.9498462695111994E-2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C-40B4-99F1-7CFDA6E3F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3944"/>
        <c:axId val="511798088"/>
      </c:scatterChart>
      <c:valAx>
        <c:axId val="50338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798088"/>
        <c:crosses val="autoZero"/>
        <c:crossBetween val="midCat"/>
      </c:valAx>
      <c:valAx>
        <c:axId val="51179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3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VRap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 Vol'!$B$7:$B$70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 Vol'!$E$7:$E$70</c:f>
              <c:numCache>
                <c:formatCode>0.0000</c:formatCode>
                <c:ptCount val="64"/>
                <c:pt idx="0">
                  <c:v>0.28792530155399176</c:v>
                </c:pt>
                <c:pt idx="1">
                  <c:v>0.38868422013621684</c:v>
                </c:pt>
                <c:pt idx="2">
                  <c:v>0.6746432</c:v>
                </c:pt>
                <c:pt idx="3">
                  <c:v>0.55110890147904812</c:v>
                </c:pt>
                <c:pt idx="4">
                  <c:v>0.68005500272334152</c:v>
                </c:pt>
                <c:pt idx="5">
                  <c:v>0.80225901839636915</c:v>
                </c:pt>
                <c:pt idx="6">
                  <c:v>0.86148831999999997</c:v>
                </c:pt>
                <c:pt idx="7">
                  <c:v>0.91989870201692769</c:v>
                </c:pt>
                <c:pt idx="8">
                  <c:v>1.0386520156713219</c:v>
                </c:pt>
                <c:pt idx="9">
                  <c:v>1.1672667014466478</c:v>
                </c:pt>
                <c:pt idx="10">
                  <c:v>1.3141275935209413</c:v>
                </c:pt>
                <c:pt idx="11">
                  <c:v>1.4866071652889563</c:v>
                </c:pt>
                <c:pt idx="12">
                  <c:v>1.6905247480224004</c:v>
                </c:pt>
                <c:pt idx="13">
                  <c:v>1.7578176000000001</c:v>
                </c:pt>
                <c:pt idx="14">
                  <c:v>1.9220961744318701</c:v>
                </c:pt>
                <c:pt idx="15">
                  <c:v>2.1512658430847926</c:v>
                </c:pt>
                <c:pt idx="16">
                  <c:v>2.342721591458484</c:v>
                </c:pt>
                <c:pt idx="17">
                  <c:v>2.4884195594464016</c:v>
                </c:pt>
                <c:pt idx="18">
                  <c:v>2.5954234938583127</c:v>
                </c:pt>
                <c:pt idx="19">
                  <c:v>2.6720757604771701</c:v>
                </c:pt>
                <c:pt idx="20">
                  <c:v>2.7254319005945264</c:v>
                </c:pt>
                <c:pt idx="21">
                  <c:v>2.7612292337128328</c:v>
                </c:pt>
                <c:pt idx="22">
                  <c:v>2.7839691864392608</c:v>
                </c:pt>
                <c:pt idx="23">
                  <c:v>2.7970486577199134</c:v>
                </c:pt>
                <c:pt idx="24">
                  <c:v>2.8029529928563379</c:v>
                </c:pt>
                <c:pt idx="25">
                  <c:v>2.8059604341586364</c:v>
                </c:pt>
                <c:pt idx="26">
                  <c:v>2.7818593862873855</c:v>
                </c:pt>
                <c:pt idx="27">
                  <c:v>2.7889495361122734</c:v>
                </c:pt>
                <c:pt idx="28">
                  <c:v>2.793662021710241</c:v>
                </c:pt>
                <c:pt idx="29">
                  <c:v>2.8068289987451052</c:v>
                </c:pt>
                <c:pt idx="30">
                  <c:v>2.8192071994032162</c:v>
                </c:pt>
                <c:pt idx="31">
                  <c:v>2.830814062797649</c:v>
                </c:pt>
                <c:pt idx="32">
                  <c:v>2.841665991019044</c:v>
                </c:pt>
                <c:pt idx="33">
                  <c:v>2.8517784124492338</c:v>
                </c:pt>
                <c:pt idx="34">
                  <c:v>2.8611658409077969</c:v>
                </c:pt>
                <c:pt idx="35">
                  <c:v>2.8698419314265133</c:v>
                </c:pt>
                <c:pt idx="36">
                  <c:v>2.8778195329098462</c:v>
                </c:pt>
                <c:pt idx="37">
                  <c:v>2.8851107377869254</c:v>
                </c:pt>
                <c:pt idx="38">
                  <c:v>2.891726928716865</c:v>
                </c:pt>
                <c:pt idx="39">
                  <c:v>2.897678822396784</c:v>
                </c:pt>
                <c:pt idx="40">
                  <c:v>2.9029765105180174</c:v>
                </c:pt>
                <c:pt idx="41">
                  <c:v>2.9076294979148329</c:v>
                </c:pt>
                <c:pt idx="42">
                  <c:v>2.9116467379493352</c:v>
                </c:pt>
                <c:pt idx="43">
                  <c:v>2.9150366651759283</c:v>
                </c:pt>
                <c:pt idx="44">
                  <c:v>2.917807225328362</c:v>
                </c:pt>
                <c:pt idx="45">
                  <c:v>2.9199659026721165</c:v>
                </c:pt>
                <c:pt idx="46">
                  <c:v>2.9215197447646069</c:v>
                </c:pt>
                <c:pt idx="47">
                  <c:v>2.922475384665387</c:v>
                </c:pt>
                <c:pt idx="48">
                  <c:v>2.9228390606382759</c:v>
                </c:pt>
                <c:pt idx="49">
                  <c:v>2.9226166333870083</c:v>
                </c:pt>
                <c:pt idx="50">
                  <c:v>2.921813600865796</c:v>
                </c:pt>
                <c:pt idx="51">
                  <c:v>2.9204351107058506</c:v>
                </c:pt>
                <c:pt idx="52">
                  <c:v>2.9184859702986752</c:v>
                </c:pt>
                <c:pt idx="53">
                  <c:v>2.9159706545766362</c:v>
                </c:pt>
                <c:pt idx="54">
                  <c:v>2.9128933115310702</c:v>
                </c:pt>
                <c:pt idx="55">
                  <c:v>2.9092577655078964</c:v>
                </c:pt>
                <c:pt idx="56">
                  <c:v>2.9050675183204091</c:v>
                </c:pt>
                <c:pt idx="57">
                  <c:v>2.9003257482187053</c:v>
                </c:pt>
                <c:pt idx="58">
                  <c:v>2.8950353067548682</c:v>
                </c:pt>
                <c:pt idx="59">
                  <c:v>2.8891987135828012</c:v>
                </c:pt>
                <c:pt idx="60">
                  <c:v>2.8828181492313085</c:v>
                </c:pt>
                <c:pt idx="61">
                  <c:v>2.8758954458887631</c:v>
                </c:pt>
                <c:pt idx="62">
                  <c:v>2.8684320762374211</c:v>
                </c:pt>
                <c:pt idx="63">
                  <c:v>2.8604291403751811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1D-47D4-927F-AED0A979D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799656"/>
        <c:axId val="511800048"/>
      </c:scatterChart>
      <c:valAx>
        <c:axId val="511799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0048"/>
        <c:crosses val="autoZero"/>
        <c:crossBetween val="midCat"/>
      </c:valAx>
      <c:valAx>
        <c:axId val="51180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799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VPLAS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'Plasma Vol'!$B$7:$B$70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'Plasma Vol'!$E$7:$E$70</c:f>
              <c:numCache>
                <c:formatCode>0.000</c:formatCode>
                <c:ptCount val="64"/>
                <c:pt idx="0">
                  <c:v>0.37023656401702359</c:v>
                </c:pt>
                <c:pt idx="1">
                  <c:v>0.47911774439281873</c:v>
                </c:pt>
                <c:pt idx="2">
                  <c:v>0.5631619049401313</c:v>
                </c:pt>
                <c:pt idx="3">
                  <c:v>0.6511449283020343</c:v>
                </c:pt>
                <c:pt idx="4">
                  <c:v>0.75749122428299831</c:v>
                </c:pt>
                <c:pt idx="5">
                  <c:v>0.84803869422747447</c:v>
                </c:pt>
                <c:pt idx="6">
                  <c:v>0.88852901464928935</c:v>
                </c:pt>
                <c:pt idx="7">
                  <c:v>0.93174151251929882</c:v>
                </c:pt>
                <c:pt idx="8">
                  <c:v>1.0151619295315413</c:v>
                </c:pt>
                <c:pt idx="9">
                  <c:v>1.1050461949650945</c:v>
                </c:pt>
                <c:pt idx="10">
                  <c:v>1.2071750707970952</c:v>
                </c:pt>
                <c:pt idx="11">
                  <c:v>1.3262097081464244</c:v>
                </c:pt>
                <c:pt idx="12">
                  <c:v>1.4651377791565157</c:v>
                </c:pt>
                <c:pt idx="13">
                  <c:v>1.5065931198373257</c:v>
                </c:pt>
                <c:pt idx="14">
                  <c:v>1.6198427457116236</c:v>
                </c:pt>
                <c:pt idx="15">
                  <c:v>1.7686300296821755</c:v>
                </c:pt>
                <c:pt idx="16">
                  <c:v>1.8877871713753724</c:v>
                </c:pt>
                <c:pt idx="17">
                  <c:v>1.9741184530814169</c:v>
                </c:pt>
                <c:pt idx="18">
                  <c:v>2.0340513871064698</c:v>
                </c:pt>
                <c:pt idx="19">
                  <c:v>2.0738665453354979</c:v>
                </c:pt>
                <c:pt idx="20">
                  <c:v>2.0987753870436516</c:v>
                </c:pt>
                <c:pt idx="21">
                  <c:v>2.1130880256081412</c:v>
                </c:pt>
                <c:pt idx="22">
                  <c:v>2.120190824905384</c:v>
                </c:pt>
                <c:pt idx="23">
                  <c:v>2.1225887944904178</c:v>
                </c:pt>
                <c:pt idx="24">
                  <c:v>2.122047878503234</c:v>
                </c:pt>
                <c:pt idx="25">
                  <c:v>2.1214943613269397</c:v>
                </c:pt>
                <c:pt idx="26">
                  <c:v>2.1042316302664887</c:v>
                </c:pt>
                <c:pt idx="27">
                  <c:v>2.1101528127834799</c:v>
                </c:pt>
                <c:pt idx="28">
                  <c:v>2.1161148817752737</c:v>
                </c:pt>
                <c:pt idx="29">
                  <c:v>2.122116869353055</c:v>
                </c:pt>
                <c:pt idx="30">
                  <c:v>2.1281556865650311</c:v>
                </c:pt>
                <c:pt idx="31">
                  <c:v>2.134226247139861</c:v>
                </c:pt>
                <c:pt idx="32">
                  <c:v>2.1403215790810828</c:v>
                </c:pt>
                <c:pt idx="33">
                  <c:v>2.1464329294178999</c:v>
                </c:pt>
                <c:pt idx="34">
                  <c:v>2.1525498638949765</c:v>
                </c:pt>
                <c:pt idx="35">
                  <c:v>2.1586603623633089</c:v>
                </c:pt>
                <c:pt idx="36">
                  <c:v>2.1647509103219424</c:v>
                </c:pt>
                <c:pt idx="37">
                  <c:v>2.1708065869503681</c:v>
                </c:pt>
                <c:pt idx="38">
                  <c:v>2.1768111499208911</c:v>
                </c:pt>
                <c:pt idx="39">
                  <c:v>2.1827471172487933</c:v>
                </c:pt>
                <c:pt idx="40">
                  <c:v>2.1885958464139663</c:v>
                </c:pt>
                <c:pt idx="41">
                  <c:v>2.1943376109670947</c:v>
                </c:pt>
                <c:pt idx="42">
                  <c:v>2.1999516748157286</c:v>
                </c:pt>
                <c:pt idx="43">
                  <c:v>2.2054163643695337</c:v>
                </c:pt>
                <c:pt idx="44">
                  <c:v>2.2107091387100013</c:v>
                </c:pt>
                <c:pt idx="45">
                  <c:v>2.2158066579371551</c:v>
                </c:pt>
                <c:pt idx="46">
                  <c:v>2.2206848498345733</c:v>
                </c:pt>
                <c:pt idx="47">
                  <c:v>2.2253189749838835</c:v>
                </c:pt>
                <c:pt idx="48">
                  <c:v>2.229683690450925</c:v>
                </c:pt>
                <c:pt idx="49">
                  <c:v>2.2337531121576131</c:v>
                </c:pt>
                <c:pt idx="50">
                  <c:v>2.2375008760463069</c:v>
                </c:pt>
                <c:pt idx="51">
                  <c:v>2.2409001981371079</c:v>
                </c:pt>
                <c:pt idx="52">
                  <c:v>2.2439239335726131</c:v>
                </c:pt>
                <c:pt idx="53">
                  <c:v>2.2465446347396631</c:v>
                </c:pt>
                <c:pt idx="54">
                  <c:v>2.2487346085528519</c:v>
                </c:pt>
                <c:pt idx="55">
                  <c:v>2.2504659729808312</c:v>
                </c:pt>
                <c:pt idx="56">
                  <c:v>2.2517107128925757</c:v>
                </c:pt>
                <c:pt idx="57">
                  <c:v>2.2524407352978915</c:v>
                </c:pt>
                <c:pt idx="58">
                  <c:v>2.2526279240537286</c:v>
                </c:pt>
                <c:pt idx="59">
                  <c:v>2.2522441941054523</c:v>
                </c:pt>
                <c:pt idx="60">
                  <c:v>2.2512615453305242</c:v>
                </c:pt>
                <c:pt idx="61">
                  <c:v>2.249652116050235</c:v>
                </c:pt>
                <c:pt idx="62">
                  <c:v>2.2473882362741304</c:v>
                </c:pt>
                <c:pt idx="63">
                  <c:v>2.244442480740644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C-46F6-96F6-8E64B7220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0440"/>
        <c:axId val="511801224"/>
      </c:scatterChart>
      <c:valAx>
        <c:axId val="511800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1224"/>
        <c:crosses val="autoZero"/>
        <c:crossBetween val="midCat"/>
      </c:valAx>
      <c:valAx>
        <c:axId val="511801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VPLAS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0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VPLASC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'Plasma Vol'!$B$7:$B$70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'Plasma Vol'!$G$7:$G$70</c:f>
              <c:numCache>
                <c:formatCode>0.000</c:formatCode>
                <c:ptCount val="64"/>
                <c:pt idx="0">
                  <c:v>5.35377764799988E-2</c:v>
                </c:pt>
                <c:pt idx="1">
                  <c:v>5.1169374490070738E-2</c:v>
                </c:pt>
                <c:pt idx="2">
                  <c:v>4.9837336720365596E-2</c:v>
                </c:pt>
                <c:pt idx="3">
                  <c:v>5.0415615871779083E-2</c:v>
                </c:pt>
                <c:pt idx="4">
                  <c:v>4.8866047802794417E-2</c:v>
                </c:pt>
                <c:pt idx="5">
                  <c:v>4.8024723693067775E-2</c:v>
                </c:pt>
                <c:pt idx="6">
                  <c:v>4.7565793075443757E-2</c:v>
                </c:pt>
                <c:pt idx="7">
                  <c:v>4.7261209771549122E-2</c:v>
                </c:pt>
                <c:pt idx="8">
                  <c:v>4.6305576220476388E-2</c:v>
                </c:pt>
                <c:pt idx="9">
                  <c:v>4.5091820973063287E-2</c:v>
                </c:pt>
                <c:pt idx="10">
                  <c:v>4.3649017961750247E-2</c:v>
                </c:pt>
                <c:pt idx="11">
                  <c:v>4.2115143002289218E-2</c:v>
                </c:pt>
                <c:pt idx="12">
                  <c:v>4.0716811054922405E-2</c:v>
                </c:pt>
                <c:pt idx="13">
                  <c:v>4.0250951638720965E-2</c:v>
                </c:pt>
                <c:pt idx="14">
                  <c:v>3.9584662208015264E-2</c:v>
                </c:pt>
                <c:pt idx="15">
                  <c:v>3.851410095864103E-2</c:v>
                </c:pt>
                <c:pt idx="16">
                  <c:v>3.733536547375764E-2</c:v>
                </c:pt>
                <c:pt idx="17">
                  <c:v>3.6203282576423218E-2</c:v>
                </c:pt>
                <c:pt idx="18">
                  <c:v>3.5260458763839084E-2</c:v>
                </c:pt>
                <c:pt idx="19">
                  <c:v>3.4525501636384716E-2</c:v>
                </c:pt>
                <c:pt idx="20">
                  <c:v>3.3962612278858093E-2</c:v>
                </c:pt>
                <c:pt idx="21">
                  <c:v>3.3528372376626626E-2</c:v>
                </c:pt>
                <c:pt idx="22">
                  <c:v>3.3186761938074058E-2</c:v>
                </c:pt>
                <c:pt idx="23">
                  <c:v>3.2911359066580707E-2</c:v>
                </c:pt>
                <c:pt idx="24">
                  <c:v>3.2683798115217405E-2</c:v>
                </c:pt>
                <c:pt idx="25">
                  <c:v>3.2475601284683103E-2</c:v>
                </c:pt>
                <c:pt idx="26">
                  <c:v>3.2441331136469867E-2</c:v>
                </c:pt>
                <c:pt idx="27">
                  <c:v>3.220849171433067E-2</c:v>
                </c:pt>
                <c:pt idx="28">
                  <c:v>3.1993263515714042E-2</c:v>
                </c:pt>
                <c:pt idx="29">
                  <c:v>3.1794857887385085E-2</c:v>
                </c:pt>
                <c:pt idx="30">
                  <c:v>3.1612522578201754E-2</c:v>
                </c:pt>
                <c:pt idx="31">
                  <c:v>3.1445538966200941E-2</c:v>
                </c:pt>
                <c:pt idx="32">
                  <c:v>3.1293219452901359E-2</c:v>
                </c:pt>
                <c:pt idx="33">
                  <c:v>3.1154905070774109E-2</c:v>
                </c:pt>
                <c:pt idx="34">
                  <c:v>3.1029963298380883E-2</c:v>
                </c:pt>
                <c:pt idx="35">
                  <c:v>3.0917786065630337E-2</c:v>
                </c:pt>
                <c:pt idx="36">
                  <c:v>3.0817787930205707E-2</c:v>
                </c:pt>
                <c:pt idx="37">
                  <c:v>3.0729404407514652E-2</c:v>
                </c:pt>
                <c:pt idx="38">
                  <c:v>3.0652090438331354E-2</c:v>
                </c:pt>
                <c:pt idx="39">
                  <c:v>3.0585318980071323E-2</c:v>
                </c:pt>
                <c:pt idx="40">
                  <c:v>3.0528579709232197E-2</c:v>
                </c:pt>
                <c:pt idx="41">
                  <c:v>3.0481377823930088E-2</c:v>
                </c:pt>
                <c:pt idx="42">
                  <c:v>3.0443232936687999E-2</c:v>
                </c:pt>
                <c:pt idx="43">
                  <c:v>3.0413678048699332E-2</c:v>
                </c:pt>
                <c:pt idx="44">
                  <c:v>3.0392258597729104E-2</c:v>
                </c:pt>
                <c:pt idx="45">
                  <c:v>3.0378531572634395E-2</c:v>
                </c:pt>
                <c:pt idx="46">
                  <c:v>3.0372064688208203E-2</c:v>
                </c:pt>
                <c:pt idx="47">
                  <c:v>3.0372435614684608E-2</c:v>
                </c:pt>
                <c:pt idx="48">
                  <c:v>3.0379231256802794E-2</c:v>
                </c:pt>
                <c:pt idx="49">
                  <c:v>3.0392047077820106E-2</c:v>
                </c:pt>
                <c:pt idx="50">
                  <c:v>3.0410486464299245E-2</c:v>
                </c:pt>
                <c:pt idx="51">
                  <c:v>3.0434160127881197E-2</c:v>
                </c:pt>
                <c:pt idx="52">
                  <c:v>3.0462685540593969E-2</c:v>
                </c:pt>
                <c:pt idx="53">
                  <c:v>3.0495686400550615E-2</c:v>
                </c:pt>
                <c:pt idx="54">
                  <c:v>3.0532792125153786E-2</c:v>
                </c:pt>
                <c:pt idx="55">
                  <c:v>3.0573637369163884E-2</c:v>
                </c:pt>
                <c:pt idx="56">
                  <c:v>3.0617861565192351E-2</c:v>
                </c:pt>
                <c:pt idx="57">
                  <c:v>3.0665108484368216E-2</c:v>
                </c:pt>
                <c:pt idx="58">
                  <c:v>3.0715025815087876E-2</c:v>
                </c:pt>
                <c:pt idx="59">
                  <c:v>3.0767264757898677E-2</c:v>
                </c:pt>
                <c:pt idx="60">
                  <c:v>3.0821479634694175E-2</c:v>
                </c:pt>
                <c:pt idx="61">
                  <c:v>3.0877327510503642E-2</c:v>
                </c:pt>
                <c:pt idx="62">
                  <c:v>3.0934467826254725E-2</c:v>
                </c:pt>
                <c:pt idx="63">
                  <c:v>3.0992562040963938E-2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C-46F6-96F6-8E64B7220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2008"/>
        <c:axId val="511802400"/>
      </c:scatterChart>
      <c:valAx>
        <c:axId val="511802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2400"/>
        <c:crosses val="autoZero"/>
        <c:crossBetween val="midCat"/>
      </c:valAx>
      <c:valAx>
        <c:axId val="511802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0" i="0" baseline="0">
                    <a:effectLst/>
                  </a:rPr>
                  <a:t>VPLASC</a:t>
                </a:r>
                <a:endParaRPr lang="en-US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2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QCP (L/h)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QC!$B$10:$B$72</c:f>
              <c:numCache>
                <c:formatCode>General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QC!$G$10:$G$72</c:f>
              <c:numCache>
                <c:formatCode>0.00</c:formatCode>
                <c:ptCount val="63"/>
                <c:pt idx="0">
                  <c:v>49.467040112990802</c:v>
                </c:pt>
                <c:pt idx="1">
                  <c:v>61.232944313725149</c:v>
                </c:pt>
                <c:pt idx="2">
                  <c:v>69.997200000000007</c:v>
                </c:pt>
                <c:pt idx="3">
                  <c:v>79.269769274918261</c:v>
                </c:pt>
                <c:pt idx="4">
                  <c:v>89.670247635677129</c:v>
                </c:pt>
                <c:pt idx="5">
                  <c:v>98.271318855589442</c:v>
                </c:pt>
                <c:pt idx="6">
                  <c:v>102.04824000000001</c:v>
                </c:pt>
                <c:pt idx="7">
                  <c:v>106.04282953122835</c:v>
                </c:pt>
                <c:pt idx="8">
                  <c:v>113.6454084449928</c:v>
                </c:pt>
                <c:pt idx="9">
                  <c:v>121.7095372999007</c:v>
                </c:pt>
                <c:pt idx="10">
                  <c:v>130.73889853853908</c:v>
                </c:pt>
                <c:pt idx="11">
                  <c:v>141.10539374322971</c:v>
                </c:pt>
                <c:pt idx="12">
                  <c:v>153.00935508733028</c:v>
                </c:pt>
                <c:pt idx="13">
                  <c:v>156.52979999999997</c:v>
                </c:pt>
                <c:pt idx="14">
                  <c:v>166.0324252528554</c:v>
                </c:pt>
                <c:pt idx="15">
                  <c:v>178.32089151867854</c:v>
                </c:pt>
                <c:pt idx="16">
                  <c:v>187.97029761087566</c:v>
                </c:pt>
                <c:pt idx="17">
                  <c:v>194.82374212617574</c:v>
                </c:pt>
                <c:pt idx="18">
                  <c:v>199.48014147468479</c:v>
                </c:pt>
                <c:pt idx="19">
                  <c:v>202.48979486199141</c:v>
                </c:pt>
                <c:pt idx="20">
                  <c:v>204.29504205691799</c:v>
                </c:pt>
                <c:pt idx="21">
                  <c:v>205.25379375185952</c:v>
                </c:pt>
                <c:pt idx="22">
                  <c:v>205.64335991944739</c:v>
                </c:pt>
                <c:pt idx="23">
                  <c:v>205.66705134889739</c:v>
                </c:pt>
                <c:pt idx="24">
                  <c:v>205.46731695982297</c:v>
                </c:pt>
                <c:pt idx="25">
                  <c:v>205.2787560917794</c:v>
                </c:pt>
                <c:pt idx="26">
                  <c:v>203.763768244365</c:v>
                </c:pt>
                <c:pt idx="27">
                  <c:v>204.11788072212718</c:v>
                </c:pt>
                <c:pt idx="28">
                  <c:v>204.48562525524321</c:v>
                </c:pt>
                <c:pt idx="29">
                  <c:v>204.86665199547932</c:v>
                </c:pt>
                <c:pt idx="30">
                  <c:v>205.26042784382304</c:v>
                </c:pt>
                <c:pt idx="31">
                  <c:v>205.66624766982392</c:v>
                </c:pt>
                <c:pt idx="32">
                  <c:v>206.08324441209163</c:v>
                </c:pt>
                <c:pt idx="33">
                  <c:v>206.51039850100676</c:v>
                </c:pt>
                <c:pt idx="34">
                  <c:v>206.9465467596745</c:v>
                </c:pt>
                <c:pt idx="35">
                  <c:v>207.39039085574089</c:v>
                </c:pt>
                <c:pt idx="36">
                  <c:v>207.84050535036229</c:v>
                </c:pt>
                <c:pt idx="37">
                  <c:v>208.29534538071474</c:v>
                </c:pt>
                <c:pt idx="38">
                  <c:v>208.75325400740795</c:v>
                </c:pt>
                <c:pt idx="39">
                  <c:v>209.21246925481626</c:v>
                </c:pt>
                <c:pt idx="40">
                  <c:v>209.67113086964102</c:v>
                </c:pt>
                <c:pt idx="41">
                  <c:v>210.12728682073546</c:v>
                </c:pt>
                <c:pt idx="42">
                  <c:v>210.57889956120306</c:v>
                </c:pt>
                <c:pt idx="43">
                  <c:v>211.02385207200075</c:v>
                </c:pt>
                <c:pt idx="44">
                  <c:v>211.45995370469083</c:v>
                </c:pt>
                <c:pt idx="45">
                  <c:v>211.88494583957177</c:v>
                </c:pt>
                <c:pt idx="46">
                  <c:v>212.29650737416154</c:v>
                </c:pt>
                <c:pt idx="47">
                  <c:v>212.69226005587601</c:v>
                </c:pt>
                <c:pt idx="48">
                  <c:v>213.06977367174778</c:v>
                </c:pt>
                <c:pt idx="49">
                  <c:v>213.42657110712611</c:v>
                </c:pt>
                <c:pt idx="50">
                  <c:v>213.76013328450242</c:v>
                </c:pt>
                <c:pt idx="51">
                  <c:v>214.06790399289005</c:v>
                </c:pt>
                <c:pt idx="52">
                  <c:v>214.34729461754796</c:v>
                </c:pt>
                <c:pt idx="53">
                  <c:v>214.59568877927319</c:v>
                </c:pt>
                <c:pt idx="54">
                  <c:v>214.81044689198521</c:v>
                </c:pt>
                <c:pt idx="55">
                  <c:v>214.98891064687695</c:v>
                </c:pt>
                <c:pt idx="56">
                  <c:v>215.12840743102188</c:v>
                </c:pt>
                <c:pt idx="57">
                  <c:v>215.2262546879802</c:v>
                </c:pt>
                <c:pt idx="58">
                  <c:v>215.27976422765701</c:v>
                </c:pt>
                <c:pt idx="59">
                  <c:v>215.28624649240643</c:v>
                </c:pt>
                <c:pt idx="60">
                  <c:v>215.24301478616854</c:v>
                </c:pt>
                <c:pt idx="61">
                  <c:v>215.1473894732498</c:v>
                </c:pt>
                <c:pt idx="62">
                  <c:v>214.99670215321802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20-4D6F-A316-55E66B36C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3184"/>
        <c:axId val="511803576"/>
      </c:scatterChart>
      <c:valAx>
        <c:axId val="511803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3576"/>
        <c:crosses val="autoZero"/>
        <c:crossBetween val="midCat"/>
      </c:valAx>
      <c:valAx>
        <c:axId val="5118035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QC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QBRNC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flow'!$C$11:$C$74</c:f>
              <c:numCache>
                <c:formatCode>0.00</c:formatCode>
                <c:ptCount val="64"/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10.3</c:v>
                </c:pt>
                <c:pt idx="15">
                  <c:v>11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24</c:v>
                </c:pt>
                <c:pt idx="29">
                  <c:v>25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32</c:v>
                </c:pt>
                <c:pt idx="37">
                  <c:v>33</c:v>
                </c:pt>
                <c:pt idx="38">
                  <c:v>34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38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42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46</c:v>
                </c:pt>
                <c:pt idx="51">
                  <c:v>47</c:v>
                </c:pt>
                <c:pt idx="52">
                  <c:v>48</c:v>
                </c:pt>
                <c:pt idx="53">
                  <c:v>49</c:v>
                </c:pt>
                <c:pt idx="54">
                  <c:v>50</c:v>
                </c:pt>
                <c:pt idx="55">
                  <c:v>51</c:v>
                </c:pt>
                <c:pt idx="56">
                  <c:v>52</c:v>
                </c:pt>
                <c:pt idx="57">
                  <c:v>53</c:v>
                </c:pt>
                <c:pt idx="58">
                  <c:v>54</c:v>
                </c:pt>
                <c:pt idx="59">
                  <c:v>55</c:v>
                </c:pt>
                <c:pt idx="60">
                  <c:v>56</c:v>
                </c:pt>
                <c:pt idx="61">
                  <c:v>57</c:v>
                </c:pt>
                <c:pt idx="62">
                  <c:v>58</c:v>
                </c:pt>
                <c:pt idx="63">
                  <c:v>59</c:v>
                </c:pt>
              </c:numCache>
            </c:numRef>
          </c:xVal>
          <c:yVal>
            <c:numRef>
              <c:f>'Brain flow'!$D$11:$D$74</c:f>
              <c:numCache>
                <c:formatCode>0.00</c:formatCode>
                <c:ptCount val="64"/>
                <c:pt idx="1">
                  <c:v>0.38908349058104885</c:v>
                </c:pt>
                <c:pt idx="2">
                  <c:v>0.42232813487255788</c:v>
                </c:pt>
                <c:pt idx="3">
                  <c:v>0.41761680859787736</c:v>
                </c:pt>
                <c:pt idx="4">
                  <c:v>0.40347453874003048</c:v>
                </c:pt>
                <c:pt idx="5">
                  <c:v>0.37026539934174552</c:v>
                </c:pt>
                <c:pt idx="6">
                  <c:v>0.33926664289660124</c:v>
                </c:pt>
                <c:pt idx="7">
                  <c:v>0.32526642076824142</c:v>
                </c:pt>
                <c:pt idx="8">
                  <c:v>0.31225623350017867</c:v>
                </c:pt>
                <c:pt idx="9">
                  <c:v>0.28893968690553667</c:v>
                </c:pt>
                <c:pt idx="10">
                  <c:v>0.2687313673988338</c:v>
                </c:pt>
                <c:pt idx="11">
                  <c:v>0.25108750273018487</c:v>
                </c:pt>
                <c:pt idx="12">
                  <c:v>0.23556043034208862</c:v>
                </c:pt>
                <c:pt idx="13">
                  <c:v>0.22179257737444322</c:v>
                </c:pt>
                <c:pt idx="14">
                  <c:v>0.21796113186601793</c:v>
                </c:pt>
                <c:pt idx="15">
                  <c:v>0.20949956621195548</c:v>
                </c:pt>
                <c:pt idx="16">
                  <c:v>0.19845414495841604</c:v>
                </c:pt>
                <c:pt idx="17">
                  <c:v>0.18847322640060493</c:v>
                </c:pt>
                <c:pt idx="18">
                  <c:v>0.17940794001927543</c:v>
                </c:pt>
                <c:pt idx="19">
                  <c:v>0.17113610662297168</c:v>
                </c:pt>
                <c:pt idx="20">
                  <c:v>0.16355655013698442</c:v>
                </c:pt>
                <c:pt idx="21">
                  <c:v>0.1565847758043179</c:v>
                </c:pt>
                <c:pt idx="22">
                  <c:v>0.15014966088149906</c:v>
                </c:pt>
                <c:pt idx="23">
                  <c:v>0.14419089807752153</c:v>
                </c:pt>
                <c:pt idx="24">
                  <c:v>0.13865700235742046</c:v>
                </c:pt>
                <c:pt idx="25">
                  <c:v>0.13350374284126096</c:v>
                </c:pt>
                <c:pt idx="26">
                  <c:v>0.12869289829838287</c:v>
                </c:pt>
                <c:pt idx="27">
                  <c:v>0.12419126117723246</c:v>
                </c:pt>
                <c:pt idx="28">
                  <c:v>0.11996983420261943</c:v>
                </c:pt>
                <c:pt idx="29">
                  <c:v>0.11600317744683623</c:v>
                </c:pt>
                <c:pt idx="30">
                  <c:v>0.11600317744683623</c:v>
                </c:pt>
                <c:pt idx="31">
                  <c:v>0.11600317744683623</c:v>
                </c:pt>
                <c:pt idx="32">
                  <c:v>0.11600317744683623</c:v>
                </c:pt>
                <c:pt idx="33">
                  <c:v>0.11600317744683623</c:v>
                </c:pt>
                <c:pt idx="34">
                  <c:v>0.11600317744683623</c:v>
                </c:pt>
                <c:pt idx="35">
                  <c:v>0.11600317744683623</c:v>
                </c:pt>
                <c:pt idx="36">
                  <c:v>0.11600317744683623</c:v>
                </c:pt>
                <c:pt idx="37">
                  <c:v>0.11600317744683623</c:v>
                </c:pt>
                <c:pt idx="38">
                  <c:v>0.11600317744683623</c:v>
                </c:pt>
                <c:pt idx="39">
                  <c:v>0.11600317744683623</c:v>
                </c:pt>
                <c:pt idx="40">
                  <c:v>0.11600317744683623</c:v>
                </c:pt>
                <c:pt idx="41">
                  <c:v>0.11600317744683623</c:v>
                </c:pt>
                <c:pt idx="42">
                  <c:v>0.11600317744683623</c:v>
                </c:pt>
                <c:pt idx="43">
                  <c:v>0.11600317744683623</c:v>
                </c:pt>
                <c:pt idx="44">
                  <c:v>0.11600317744683623</c:v>
                </c:pt>
                <c:pt idx="45">
                  <c:v>0.11600317744683623</c:v>
                </c:pt>
                <c:pt idx="46">
                  <c:v>0.11600317744683623</c:v>
                </c:pt>
                <c:pt idx="47">
                  <c:v>0.11600317744683623</c:v>
                </c:pt>
                <c:pt idx="48">
                  <c:v>0.11600317744683623</c:v>
                </c:pt>
                <c:pt idx="49">
                  <c:v>0.11600317744683623</c:v>
                </c:pt>
                <c:pt idx="50">
                  <c:v>0.11600317744683623</c:v>
                </c:pt>
                <c:pt idx="51">
                  <c:v>0.11600317744683623</c:v>
                </c:pt>
                <c:pt idx="52">
                  <c:v>0.11600317744683623</c:v>
                </c:pt>
                <c:pt idx="53">
                  <c:v>0.11600317744683623</c:v>
                </c:pt>
                <c:pt idx="54">
                  <c:v>0.11600317744683623</c:v>
                </c:pt>
                <c:pt idx="55">
                  <c:v>0.11600317744683623</c:v>
                </c:pt>
                <c:pt idx="56">
                  <c:v>0.11600317744683623</c:v>
                </c:pt>
                <c:pt idx="57">
                  <c:v>0.11600317744683623</c:v>
                </c:pt>
                <c:pt idx="58">
                  <c:v>0.11600317744683623</c:v>
                </c:pt>
                <c:pt idx="59">
                  <c:v>0.11600317744683623</c:v>
                </c:pt>
                <c:pt idx="60">
                  <c:v>0.11600317744683623</c:v>
                </c:pt>
                <c:pt idx="61">
                  <c:v>0.11600317744683623</c:v>
                </c:pt>
                <c:pt idx="62">
                  <c:v>0.11600317744683623</c:v>
                </c:pt>
                <c:pt idx="63">
                  <c:v>0.11600317744683623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10-407E-9D7B-698396826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5536"/>
        <c:axId val="511805928"/>
      </c:scatterChart>
      <c:valAx>
        <c:axId val="511805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5928"/>
        <c:crosses val="autoZero"/>
        <c:crossBetween val="midCat"/>
      </c:valAx>
      <c:valAx>
        <c:axId val="511805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QBRN 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5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Body Height</a:t>
            </a:r>
          </a:p>
        </c:rich>
      </c:tx>
      <c:layout>
        <c:manualLayout>
          <c:xMode val="edge"/>
          <c:yMode val="edge"/>
          <c:x val="0.37302077865266847"/>
          <c:y val="8.79629629629629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Simulation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BH!$B$13:$B$76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BH!$D$13:$D$76</c:f>
              <c:numCache>
                <c:formatCode>0.00</c:formatCode>
                <c:ptCount val="64"/>
                <c:pt idx="0">
                  <c:v>63.846796951283025</c:v>
                </c:pt>
                <c:pt idx="1">
                  <c:v>73.133515075073461</c:v>
                </c:pt>
                <c:pt idx="2">
                  <c:v>80.220970928634003</c:v>
                </c:pt>
                <c:pt idx="3">
                  <c:v>85.8923535915862</c:v>
                </c:pt>
                <c:pt idx="4">
                  <c:v>94.541359016210961</c:v>
                </c:pt>
                <c:pt idx="5">
                  <c:v>102.79377912809166</c:v>
                </c:pt>
                <c:pt idx="6">
                  <c:v>106.67935349123725</c:v>
                </c:pt>
                <c:pt idx="7">
                  <c:v>110.31860080082637</c:v>
                </c:pt>
                <c:pt idx="8">
                  <c:v>116.94293516675691</c:v>
                </c:pt>
                <c:pt idx="9">
                  <c:v>122.86468769382844</c:v>
                </c:pt>
                <c:pt idx="10">
                  <c:v>128.39169770546997</c:v>
                </c:pt>
                <c:pt idx="11">
                  <c:v>134.09393224350492</c:v>
                </c:pt>
                <c:pt idx="12">
                  <c:v>140.86757931933013</c:v>
                </c:pt>
                <c:pt idx="13">
                  <c:v>143.20487522685559</c:v>
                </c:pt>
                <c:pt idx="14">
                  <c:v>148.96245456446943</c:v>
                </c:pt>
                <c:pt idx="15">
                  <c:v>156.10069388016007</c:v>
                </c:pt>
                <c:pt idx="16">
                  <c:v>160.01687553922528</c:v>
                </c:pt>
                <c:pt idx="17">
                  <c:v>161.49732203973653</c:v>
                </c:pt>
                <c:pt idx="18">
                  <c:v>161.96127689238583</c:v>
                </c:pt>
                <c:pt idx="19">
                  <c:v>162.09649102155765</c:v>
                </c:pt>
                <c:pt idx="20">
                  <c:v>162.1349264047526</c:v>
                </c:pt>
                <c:pt idx="21">
                  <c:v>162.14576263580773</c:v>
                </c:pt>
                <c:pt idx="22">
                  <c:v>162.1488096325391</c:v>
                </c:pt>
                <c:pt idx="23">
                  <c:v>162.14966567271529</c:v>
                </c:pt>
                <c:pt idx="24">
                  <c:v>162.14990610721546</c:v>
                </c:pt>
                <c:pt idx="25">
                  <c:v>162.14997363165622</c:v>
                </c:pt>
                <c:pt idx="26">
                  <c:v>162.14999259490992</c:v>
                </c:pt>
                <c:pt idx="27">
                  <c:v>162.14999792041425</c:v>
                </c:pt>
                <c:pt idx="28">
                  <c:v>162.14999941598637</c:v>
                </c:pt>
                <c:pt idx="29">
                  <c:v>162.14999983599049</c:v>
                </c:pt>
                <c:pt idx="30">
                  <c:v>162.14999995394095</c:v>
                </c:pt>
                <c:pt idx="31">
                  <c:v>162.14999998706517</c:v>
                </c:pt>
                <c:pt idx="32">
                  <c:v>162.14999999636748</c:v>
                </c:pt>
                <c:pt idx="33">
                  <c:v>162.14999999897989</c:v>
                </c:pt>
                <c:pt idx="34">
                  <c:v>162.14999999971351</c:v>
                </c:pt>
                <c:pt idx="35">
                  <c:v>162.14999999991954</c:v>
                </c:pt>
                <c:pt idx="36">
                  <c:v>162.14999999997741</c:v>
                </c:pt>
                <c:pt idx="37">
                  <c:v>162.14999999999367</c:v>
                </c:pt>
                <c:pt idx="38">
                  <c:v>162.14999999999822</c:v>
                </c:pt>
                <c:pt idx="39">
                  <c:v>162.14999999999949</c:v>
                </c:pt>
                <c:pt idx="40">
                  <c:v>162.14999999999986</c:v>
                </c:pt>
                <c:pt idx="41">
                  <c:v>162.14999999999998</c:v>
                </c:pt>
                <c:pt idx="42">
                  <c:v>162.15</c:v>
                </c:pt>
                <c:pt idx="43">
                  <c:v>162.15</c:v>
                </c:pt>
                <c:pt idx="44">
                  <c:v>162.15</c:v>
                </c:pt>
                <c:pt idx="45">
                  <c:v>162.15</c:v>
                </c:pt>
                <c:pt idx="46">
                  <c:v>162.15</c:v>
                </c:pt>
                <c:pt idx="47">
                  <c:v>162.15</c:v>
                </c:pt>
                <c:pt idx="48">
                  <c:v>162.15</c:v>
                </c:pt>
                <c:pt idx="49">
                  <c:v>162.15</c:v>
                </c:pt>
                <c:pt idx="50">
                  <c:v>162.15</c:v>
                </c:pt>
                <c:pt idx="51">
                  <c:v>162.15</c:v>
                </c:pt>
                <c:pt idx="52">
                  <c:v>162.15</c:v>
                </c:pt>
                <c:pt idx="53">
                  <c:v>162.15</c:v>
                </c:pt>
                <c:pt idx="54">
                  <c:v>162.15</c:v>
                </c:pt>
                <c:pt idx="55">
                  <c:v>162.15</c:v>
                </c:pt>
                <c:pt idx="56">
                  <c:v>162.15</c:v>
                </c:pt>
                <c:pt idx="57">
                  <c:v>162.15</c:v>
                </c:pt>
                <c:pt idx="58">
                  <c:v>162.15</c:v>
                </c:pt>
                <c:pt idx="59">
                  <c:v>162.15</c:v>
                </c:pt>
                <c:pt idx="60">
                  <c:v>162.15</c:v>
                </c:pt>
                <c:pt idx="61">
                  <c:v>162.15</c:v>
                </c:pt>
                <c:pt idx="62">
                  <c:v>162.15</c:v>
                </c:pt>
                <c:pt idx="63">
                  <c:v>162.15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83-4D67-AB21-D221F4E3B902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BH!$B$13:$B$76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BH!$E$13:$E$76</c:f>
              <c:numCache>
                <c:formatCode>General</c:formatCode>
                <c:ptCount val="64"/>
                <c:pt idx="3">
                  <c:v>90.9</c:v>
                </c:pt>
                <c:pt idx="4">
                  <c:v>99</c:v>
                </c:pt>
                <c:pt idx="5">
                  <c:v>106.1</c:v>
                </c:pt>
                <c:pt idx="6">
                  <c:v>113.6</c:v>
                </c:pt>
                <c:pt idx="7">
                  <c:v>113.6</c:v>
                </c:pt>
                <c:pt idx="8">
                  <c:v>118.75</c:v>
                </c:pt>
                <c:pt idx="9">
                  <c:v>126</c:v>
                </c:pt>
                <c:pt idx="10">
                  <c:v>131.85</c:v>
                </c:pt>
                <c:pt idx="11">
                  <c:v>138.80000000000001</c:v>
                </c:pt>
                <c:pt idx="12">
                  <c:v>143.9</c:v>
                </c:pt>
                <c:pt idx="13">
                  <c:v>143.9</c:v>
                </c:pt>
                <c:pt idx="14">
                  <c:v>151.69999999999999</c:v>
                </c:pt>
                <c:pt idx="15">
                  <c:v>157.19999999999999</c:v>
                </c:pt>
                <c:pt idx="16">
                  <c:v>158.6</c:v>
                </c:pt>
                <c:pt idx="17">
                  <c:v>160.6</c:v>
                </c:pt>
                <c:pt idx="18">
                  <c:v>161.19999999999999</c:v>
                </c:pt>
                <c:pt idx="19">
                  <c:v>159.6</c:v>
                </c:pt>
                <c:pt idx="20">
                  <c:v>162.30000000000001</c:v>
                </c:pt>
                <c:pt idx="21">
                  <c:v>161.75</c:v>
                </c:pt>
                <c:pt idx="22">
                  <c:v>162.25</c:v>
                </c:pt>
                <c:pt idx="23">
                  <c:v>161.9</c:v>
                </c:pt>
                <c:pt idx="24">
                  <c:v>161.5</c:v>
                </c:pt>
                <c:pt idx="25">
                  <c:v>164.1</c:v>
                </c:pt>
                <c:pt idx="26">
                  <c:v>164.2</c:v>
                </c:pt>
                <c:pt idx="27">
                  <c:v>163.15</c:v>
                </c:pt>
                <c:pt idx="28">
                  <c:v>161.5</c:v>
                </c:pt>
                <c:pt idx="29">
                  <c:v>163.19999999999999</c:v>
                </c:pt>
                <c:pt idx="30">
                  <c:v>162.65</c:v>
                </c:pt>
                <c:pt idx="31">
                  <c:v>161.5</c:v>
                </c:pt>
                <c:pt idx="32">
                  <c:v>162.5</c:v>
                </c:pt>
                <c:pt idx="33">
                  <c:v>161.5</c:v>
                </c:pt>
                <c:pt idx="34">
                  <c:v>161.1</c:v>
                </c:pt>
                <c:pt idx="35">
                  <c:v>163.4</c:v>
                </c:pt>
                <c:pt idx="36">
                  <c:v>163.6</c:v>
                </c:pt>
                <c:pt idx="37">
                  <c:v>163.69999999999999</c:v>
                </c:pt>
                <c:pt idx="38">
                  <c:v>163.30000000000001</c:v>
                </c:pt>
                <c:pt idx="39">
                  <c:v>163.65</c:v>
                </c:pt>
                <c:pt idx="40">
                  <c:v>161.44999999999999</c:v>
                </c:pt>
                <c:pt idx="41">
                  <c:v>162.85</c:v>
                </c:pt>
                <c:pt idx="42">
                  <c:v>162.19999999999999</c:v>
                </c:pt>
                <c:pt idx="43">
                  <c:v>162</c:v>
                </c:pt>
                <c:pt idx="44">
                  <c:v>162.35</c:v>
                </c:pt>
                <c:pt idx="45">
                  <c:v>162.1</c:v>
                </c:pt>
                <c:pt idx="46">
                  <c:v>161.19999999999999</c:v>
                </c:pt>
                <c:pt idx="47">
                  <c:v>165.1</c:v>
                </c:pt>
                <c:pt idx="48">
                  <c:v>165.2</c:v>
                </c:pt>
                <c:pt idx="49">
                  <c:v>161.15</c:v>
                </c:pt>
                <c:pt idx="50">
                  <c:v>160.75</c:v>
                </c:pt>
                <c:pt idx="51">
                  <c:v>160.80000000000001</c:v>
                </c:pt>
                <c:pt idx="52">
                  <c:v>161.69999999999999</c:v>
                </c:pt>
                <c:pt idx="53">
                  <c:v>160.80000000000001</c:v>
                </c:pt>
                <c:pt idx="54">
                  <c:v>161.80000000000001</c:v>
                </c:pt>
                <c:pt idx="55">
                  <c:v>162.1</c:v>
                </c:pt>
                <c:pt idx="56">
                  <c:v>162.65</c:v>
                </c:pt>
                <c:pt idx="57">
                  <c:v>163.19999999999999</c:v>
                </c:pt>
                <c:pt idx="58">
                  <c:v>162.30000000000001</c:v>
                </c:pt>
                <c:pt idx="59">
                  <c:v>162.1</c:v>
                </c:pt>
                <c:pt idx="60">
                  <c:v>159.5</c:v>
                </c:pt>
                <c:pt idx="61">
                  <c:v>160.30000000000001</c:v>
                </c:pt>
                <c:pt idx="62">
                  <c:v>161.30000000000001</c:v>
                </c:pt>
                <c:pt idx="63">
                  <c:v>160.6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38-46B0-BA86-17B13C089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0568"/>
        <c:axId val="500900960"/>
      </c:scatterChart>
      <c:valAx>
        <c:axId val="500900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0960"/>
        <c:crosses val="autoZero"/>
        <c:crossBetween val="midCat"/>
      </c:valAx>
      <c:valAx>
        <c:axId val="500900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Body height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0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QBRN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flow'!$C$11:$C$75</c:f>
              <c:numCache>
                <c:formatCode>0.00</c:formatCode>
                <c:ptCount val="65"/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10.3</c:v>
                </c:pt>
                <c:pt idx="15">
                  <c:v>11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24</c:v>
                </c:pt>
                <c:pt idx="29">
                  <c:v>25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32</c:v>
                </c:pt>
                <c:pt idx="37">
                  <c:v>33</c:v>
                </c:pt>
                <c:pt idx="38">
                  <c:v>34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38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42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46</c:v>
                </c:pt>
                <c:pt idx="51">
                  <c:v>47</c:v>
                </c:pt>
                <c:pt idx="52">
                  <c:v>48</c:v>
                </c:pt>
                <c:pt idx="53">
                  <c:v>49</c:v>
                </c:pt>
                <c:pt idx="54">
                  <c:v>50</c:v>
                </c:pt>
                <c:pt idx="55">
                  <c:v>51</c:v>
                </c:pt>
                <c:pt idx="56">
                  <c:v>52</c:v>
                </c:pt>
                <c:pt idx="57">
                  <c:v>53</c:v>
                </c:pt>
                <c:pt idx="58">
                  <c:v>54</c:v>
                </c:pt>
                <c:pt idx="59">
                  <c:v>55</c:v>
                </c:pt>
                <c:pt idx="60">
                  <c:v>56</c:v>
                </c:pt>
                <c:pt idx="61">
                  <c:v>57</c:v>
                </c:pt>
                <c:pt idx="62">
                  <c:v>58</c:v>
                </c:pt>
                <c:pt idx="63">
                  <c:v>59</c:v>
                </c:pt>
                <c:pt idx="64">
                  <c:v>60</c:v>
                </c:pt>
              </c:numCache>
            </c:numRef>
          </c:xVal>
          <c:yVal>
            <c:numRef>
              <c:f>'Brain flow'!$F$11:$F$75</c:f>
              <c:numCache>
                <c:formatCode>0.00</c:formatCode>
                <c:ptCount val="65"/>
                <c:pt idx="1">
                  <c:v>19.246808635875222</c:v>
                </c:pt>
                <c:pt idx="2">
                  <c:v>25.86039516477074</c:v>
                </c:pt>
                <c:pt idx="3">
                  <c:v>29.233176601851415</c:v>
                </c:pt>
                <c:pt idx="4">
                  <c:v>31.983333594226284</c:v>
                </c:pt>
                <c:pt idx="5">
                  <c:v>33.201790049897205</c:v>
                </c:pt>
                <c:pt idx="6">
                  <c:v>33.340180441157301</c:v>
                </c:pt>
                <c:pt idx="7">
                  <c:v>33.193438239399036</c:v>
                </c:pt>
                <c:pt idx="8">
                  <c:v>33.112534539122883</c:v>
                </c:pt>
                <c:pt idx="9">
                  <c:v>32.836668734348052</c:v>
                </c:pt>
                <c:pt idx="10">
                  <c:v>32.707170384081685</c:v>
                </c:pt>
                <c:pt idx="11">
                  <c:v>32.82690354373679</c:v>
                </c:pt>
                <c:pt idx="12">
                  <c:v>33.238847273745051</c:v>
                </c:pt>
                <c:pt idx="13">
                  <c:v>33.936339227220358</c:v>
                </c:pt>
                <c:pt idx="14">
                  <c:v>34.117455970987784</c:v>
                </c:pt>
                <c:pt idx="15">
                  <c:v>34.783721067592133</c:v>
                </c:pt>
                <c:pt idx="16">
                  <c:v>35.388520054561809</c:v>
                </c:pt>
                <c:pt idx="17">
                  <c:v>35.427368458203659</c:v>
                </c:pt>
                <c:pt idx="18">
                  <c:v>34.952926241703722</c:v>
                </c:pt>
                <c:pt idx="19">
                  <c:v>34.138254760577134</c:v>
                </c:pt>
                <c:pt idx="20">
                  <c:v>33.118532285572989</c:v>
                </c:pt>
                <c:pt idx="21">
                  <c:v>31.989493358416201</c:v>
                </c:pt>
                <c:pt idx="22">
                  <c:v>30.818787526482858</c:v>
                </c:pt>
                <c:pt idx="23">
                  <c:v>29.651900750464115</c:v>
                </c:pt>
                <c:pt idx="24">
                  <c:v>28.51717682372778</c:v>
                </c:pt>
                <c:pt idx="25">
                  <c:v>27.430655845688062</c:v>
                </c:pt>
                <c:pt idx="26">
                  <c:v>26.417918080537909</c:v>
                </c:pt>
                <c:pt idx="27">
                  <c:v>25.305679360492999</c:v>
                </c:pt>
                <c:pt idx="28">
                  <c:v>24.487988308023649</c:v>
                </c:pt>
                <c:pt idx="29">
                  <c:v>23.720982271811234</c:v>
                </c:pt>
                <c:pt idx="30">
                  <c:v>23.765182584370834</c:v>
                </c:pt>
                <c:pt idx="31">
                  <c:v>23.810861833980528</c:v>
                </c:pt>
                <c:pt idx="32">
                  <c:v>23.857938223267553</c:v>
                </c:pt>
                <c:pt idx="33">
                  <c:v>23.906311170355586</c:v>
                </c:pt>
                <c:pt idx="34">
                  <c:v>23.955862401929149</c:v>
                </c:pt>
                <c:pt idx="35">
                  <c:v>24.006456985772513</c:v>
                </c:pt>
                <c:pt idx="36">
                  <c:v>24.057944311207233</c:v>
                </c:pt>
                <c:pt idx="37">
                  <c:v>24.110159022798193</c:v>
                </c:pt>
                <c:pt idx="38">
                  <c:v>24.162921911549091</c:v>
                </c:pt>
                <c:pt idx="39">
                  <c:v>24.21604076722582</c:v>
                </c:pt>
                <c:pt idx="40">
                  <c:v>24.26931119505722</c:v>
                </c:pt>
                <c:pt idx="41">
                  <c:v>24.322517399749788</c:v>
                </c:pt>
                <c:pt idx="42">
                  <c:v>24.375432939488029</c:v>
                </c:pt>
                <c:pt idx="43">
                  <c:v>24.427821452357744</c:v>
                </c:pt>
                <c:pt idx="44">
                  <c:v>24.479437357423222</c:v>
                </c:pt>
                <c:pt idx="45">
                  <c:v>24.530026532505026</c:v>
                </c:pt>
                <c:pt idx="46">
                  <c:v>24.579326970541128</c:v>
                </c:pt>
                <c:pt idx="47">
                  <c:v>24.627069416268437</c:v>
                </c:pt>
                <c:pt idx="48">
                  <c:v>24.672977984830421</c:v>
                </c:pt>
                <c:pt idx="49">
                  <c:v>24.716770763800994</c:v>
                </c:pt>
                <c:pt idx="50">
                  <c:v>24.758160400009761</c:v>
                </c:pt>
                <c:pt idx="51">
                  <c:v>24.7968546724615</c:v>
                </c:pt>
                <c:pt idx="52">
                  <c:v>24.832557052559526</c:v>
                </c:pt>
                <c:pt idx="53">
                  <c:v>24.8649672527687</c:v>
                </c:pt>
                <c:pt idx="54">
                  <c:v>24.89378176478807</c:v>
                </c:pt>
                <c:pt idx="55">
                  <c:v>24.91869438824515</c:v>
                </c:pt>
                <c:pt idx="56">
                  <c:v>24.939396750871687</c:v>
                </c:pt>
                <c:pt idx="57">
                  <c:v>24.955578821076113</c:v>
                </c:pt>
                <c:pt idx="58">
                  <c:v>24.966929413787735</c:v>
                </c:pt>
                <c:pt idx="59">
                  <c:v>24.973136690413963</c:v>
                </c:pt>
                <c:pt idx="60">
                  <c:v>24.97388865372195</c:v>
                </c:pt>
                <c:pt idx="61">
                  <c:v>24.968873638431905</c:v>
                </c:pt>
                <c:pt idx="62">
                  <c:v>24.957780798288983</c:v>
                </c:pt>
                <c:pt idx="63">
                  <c:v>24.940300590364348</c:v>
                </c:pt>
                <c:pt idx="64">
                  <c:v>24.916125257324701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11-4170-A326-1828B5E18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4360"/>
        <c:axId val="511804752"/>
      </c:scatterChart>
      <c:valAx>
        <c:axId val="511804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4752"/>
        <c:crosses val="autoZero"/>
        <c:crossBetween val="midCat"/>
      </c:valAx>
      <c:valAx>
        <c:axId val="511804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QBRN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4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flow'!#REF!</c:f>
            </c:numRef>
          </c:xVal>
          <c:yVal>
            <c:numRef>
              <c:f>'Brain flow'!#REF!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FC-4A7A-9A9B-D6B31440A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538776"/>
        <c:axId val="554539760"/>
      </c:scatterChart>
      <c:valAx>
        <c:axId val="554538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39760"/>
        <c:crosses val="autoZero"/>
        <c:crossBetween val="midCat"/>
      </c:valAx>
      <c:valAx>
        <c:axId val="55453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38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QFAT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flow'!$B$11:$B$73</c:f>
              <c:numCache>
                <c:formatCode>0.00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'Fat flow'!$F$11:$F$73</c:f>
              <c:numCache>
                <c:formatCode>0.00</c:formatCode>
                <c:ptCount val="63"/>
                <c:pt idx="0">
                  <c:v>4.3103341196982194</c:v>
                </c:pt>
                <c:pt idx="1">
                  <c:v>5.3621550236263475</c:v>
                </c:pt>
                <c:pt idx="2">
                  <c:v>6.0002082191780834</c:v>
                </c:pt>
                <c:pt idx="3">
                  <c:v>6.6200198498098199</c:v>
                </c:pt>
                <c:pt idx="4">
                  <c:v>7.1118057949132591</c:v>
                </c:pt>
                <c:pt idx="5">
                  <c:v>7.2567853550681019</c:v>
                </c:pt>
                <c:pt idx="7">
                  <c:v>7.3747296950333929</c:v>
                </c:pt>
                <c:pt idx="8">
                  <c:v>7.6183996631375956</c:v>
                </c:pt>
                <c:pt idx="9">
                  <c:v>8.050906266191971</c:v>
                </c:pt>
                <c:pt idx="10">
                  <c:v>8.7006064122145972</c:v>
                </c:pt>
                <c:pt idx="11">
                  <c:v>9.5423637162912271</c:v>
                </c:pt>
                <c:pt idx="12">
                  <c:v>10.469664174467001</c:v>
                </c:pt>
                <c:pt idx="13">
                  <c:v>10.720225080821919</c:v>
                </c:pt>
                <c:pt idx="14">
                  <c:v>11.366275847240161</c:v>
                </c:pt>
                <c:pt idx="15">
                  <c:v>12.285213936639233</c:v>
                </c:pt>
                <c:pt idx="16">
                  <c:v>13.288014848057639</c:v>
                </c:pt>
                <c:pt idx="17">
                  <c:v>14.248319262580193</c:v>
                </c:pt>
                <c:pt idx="18">
                  <c:v>15.037943693791631</c:v>
                </c:pt>
                <c:pt idx="19">
                  <c:v>15.624524466153233</c:v>
                </c:pt>
                <c:pt idx="20">
                  <c:v>16.036415313886806</c:v>
                </c:pt>
                <c:pt idx="21">
                  <c:v>16.320611196273646</c:v>
                </c:pt>
                <c:pt idx="22">
                  <c:v>16.521274481774309</c:v>
                </c:pt>
                <c:pt idx="23">
                  <c:v>16.672666540369541</c:v>
                </c:pt>
                <c:pt idx="24">
                  <c:v>16.798846806497032</c:v>
                </c:pt>
                <c:pt idx="25">
                  <c:v>16.939913202293397</c:v>
                </c:pt>
                <c:pt idx="26">
                  <c:v>16.861176050740738</c:v>
                </c:pt>
                <c:pt idx="27">
                  <c:v>17.118463370534592</c:v>
                </c:pt>
                <c:pt idx="28">
                  <c:v>17.387197776650762</c:v>
                </c:pt>
                <c:pt idx="29">
                  <c:v>17.551097910836113</c:v>
                </c:pt>
                <c:pt idx="30">
                  <c:v>17.711247405485029</c:v>
                </c:pt>
                <c:pt idx="31">
                  <c:v>17.867699503019381</c:v>
                </c:pt>
                <c:pt idx="32">
                  <c:v>18.020485459595275</c:v>
                </c:pt>
                <c:pt idx="33">
                  <c:v>18.169615151691517</c:v>
                </c:pt>
                <c:pt idx="34">
                  <c:v>18.315077723392037</c:v>
                </c:pt>
                <c:pt idx="35">
                  <c:v>18.456842264004184</c:v>
                </c:pt>
                <c:pt idx="36">
                  <c:v>18.594858510379009</c:v>
                </c:pt>
                <c:pt idx="37">
                  <c:v>18.729057570005146</c:v>
                </c:pt>
                <c:pt idx="38">
                  <c:v>18.859352661770483</c:v>
                </c:pt>
                <c:pt idx="39">
                  <c:v>18.985639871830447</c:v>
                </c:pt>
                <c:pt idx="40">
                  <c:v>19.107798922456787</c:v>
                </c:pt>
                <c:pt idx="41">
                  <c:v>19.225693952121119</c:v>
                </c:pt>
                <c:pt idx="42">
                  <c:v>19.33917430540529</c:v>
                </c:pt>
                <c:pt idx="43">
                  <c:v>19.448075331636652</c:v>
                </c:pt>
                <c:pt idx="44">
                  <c:v>19.552219191419368</c:v>
                </c:pt>
                <c:pt idx="45">
                  <c:v>19.651415670480436</c:v>
                </c:pt>
                <c:pt idx="46">
                  <c:v>19.745463000468824</c:v>
                </c:pt>
                <c:pt idx="47">
                  <c:v>19.834148686542619</c:v>
                </c:pt>
                <c:pt idx="48">
                  <c:v>19.917250341753409</c:v>
                </c:pt>
                <c:pt idx="49">
                  <c:v>19.994536528389183</c:v>
                </c:pt>
                <c:pt idx="50">
                  <c:v>20.0657676065704</c:v>
                </c:pt>
                <c:pt idx="51">
                  <c:v>20.1306965905084</c:v>
                </c:pt>
                <c:pt idx="52">
                  <c:v>20.189070012931527</c:v>
                </c:pt>
                <c:pt idx="53">
                  <c:v>20.240628798265007</c:v>
                </c:pt>
                <c:pt idx="54">
                  <c:v>20.285109145214577</c:v>
                </c:pt>
                <c:pt idx="55">
                  <c:v>20.322243419453063</c:v>
                </c:pt>
                <c:pt idx="56">
                  <c:v>20.351761057144259</c:v>
                </c:pt>
                <c:pt idx="57">
                  <c:v>20.373389480059245</c:v>
                </c:pt>
                <c:pt idx="58">
                  <c:v>20.386855023048518</c:v>
                </c:pt>
                <c:pt idx="59">
                  <c:v>20.391883874628022</c:v>
                </c:pt>
                <c:pt idx="60">
                  <c:v>20.388203031420627</c:v>
                </c:pt>
                <c:pt idx="61">
                  <c:v>20.375541267165037</c:v>
                </c:pt>
                <c:pt idx="62">
                  <c:v>20.353630116963849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6320"/>
        <c:axId val="511806712"/>
      </c:scatterChart>
      <c:valAx>
        <c:axId val="511806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6712"/>
        <c:crosses val="autoZero"/>
        <c:crossBetween val="midCat"/>
      </c:valAx>
      <c:valAx>
        <c:axId val="511806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QFAT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QFATC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flow'!$B$11:$B$73</c:f>
              <c:numCache>
                <c:formatCode>0.00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'Fat flow'!$D$11:$D$73</c:f>
              <c:numCache>
                <c:formatCode>0.000</c:formatCode>
                <c:ptCount val="63"/>
                <c:pt idx="0">
                  <c:v>8.7135476669974843E-2</c:v>
                </c:pt>
                <c:pt idx="1">
                  <c:v>8.7569772835901991E-2</c:v>
                </c:pt>
                <c:pt idx="2">
                  <c:v>8.5717260273972626E-2</c:v>
                </c:pt>
                <c:pt idx="3">
                  <c:v>8.3512540913935271E-2</c:v>
                </c:pt>
                <c:pt idx="4">
                  <c:v>7.9310651887657804E-2</c:v>
                </c:pt>
                <c:pt idx="5">
                  <c:v>7.384438755454184E-2</c:v>
                </c:pt>
                <c:pt idx="6">
                  <c:v>7.1444246575342471E-2</c:v>
                </c:pt>
                <c:pt idx="7">
                  <c:v>6.9544821914258925E-2</c:v>
                </c:pt>
                <c:pt idx="8">
                  <c:v>6.7036581304779158E-2</c:v>
                </c:pt>
                <c:pt idx="9">
                  <c:v>6.6148524140338991E-2</c:v>
                </c:pt>
                <c:pt idx="10">
                  <c:v>6.654948534425538E-2</c:v>
                </c:pt>
                <c:pt idx="11">
                  <c:v>6.7625789937240249E-2</c:v>
                </c:pt>
                <c:pt idx="12">
                  <c:v>6.8424993808329088E-2</c:v>
                </c:pt>
                <c:pt idx="13">
                  <c:v>6.848671232876713E-2</c:v>
                </c:pt>
                <c:pt idx="14">
                  <c:v>6.845816911925573E-2</c:v>
                </c:pt>
                <c:pt idx="15">
                  <c:v>6.8893856642436066E-2</c:v>
                </c:pt>
                <c:pt idx="16">
                  <c:v>7.0692098788744037E-2</c:v>
                </c:pt>
                <c:pt idx="17">
                  <c:v>7.3134409118126908E-2</c:v>
                </c:pt>
                <c:pt idx="18">
                  <c:v>7.538566787962718E-2</c:v>
                </c:pt>
                <c:pt idx="19">
                  <c:v>7.7162034149929656E-2</c:v>
                </c:pt>
                <c:pt idx="20">
                  <c:v>7.8496350926709965E-2</c:v>
                </c:pt>
                <c:pt idx="21">
                  <c:v>7.9514297387381611E-2</c:v>
                </c:pt>
                <c:pt idx="22">
                  <c:v>8.0339450241650692E-2</c:v>
                </c:pt>
                <c:pt idx="23">
                  <c:v>8.1066298325470326E-2</c:v>
                </c:pt>
                <c:pt idx="24">
                  <c:v>8.1759216283443625E-2</c:v>
                </c:pt>
                <c:pt idx="25">
                  <c:v>8.2521511357559196E-2</c:v>
                </c:pt>
                <c:pt idx="26">
                  <c:v>8.2748646611795401E-2</c:v>
                </c:pt>
                <c:pt idx="27">
                  <c:v>8.3865574686416408E-2</c:v>
                </c:pt>
                <c:pt idx="28">
                  <c:v>8.5028948880625232E-2</c:v>
                </c:pt>
                <c:pt idx="29">
                  <c:v>8.5670838762100743E-2</c:v>
                </c:pt>
                <c:pt idx="30">
                  <c:v>8.6286711917803391E-2</c:v>
                </c:pt>
                <c:pt idx="31">
                  <c:v>8.6877159988371755E-2</c:v>
                </c:pt>
                <c:pt idx="32">
                  <c:v>8.7442749220120242E-2</c:v>
                </c:pt>
                <c:pt idx="33">
                  <c:v>8.798402057997548E-2</c:v>
                </c:pt>
                <c:pt idx="34">
                  <c:v>8.8501489926580898E-2</c:v>
                </c:pt>
                <c:pt idx="35">
                  <c:v>8.8995648196847355E-2</c:v>
                </c:pt>
                <c:pt idx="36">
                  <c:v>8.9466961596504774E-2</c:v>
                </c:pt>
                <c:pt idx="37">
                  <c:v>8.991587179143562E-2</c:v>
                </c:pt>
                <c:pt idx="38">
                  <c:v>9.034279609888729E-2</c:v>
                </c:pt>
                <c:pt idx="39">
                  <c:v>9.0748127678309407E-2</c:v>
                </c:pt>
                <c:pt idx="40">
                  <c:v>9.1132235721744129E-2</c:v>
                </c:pt>
                <c:pt idx="41">
                  <c:v>9.1495465643750551E-2</c:v>
                </c:pt>
                <c:pt idx="42">
                  <c:v>9.1838139270855643E-2</c:v>
                </c:pt>
                <c:pt idx="43">
                  <c:v>9.2160555030532859E-2</c:v>
                </c:pt>
                <c:pt idx="44">
                  <c:v>9.2462988139704869E-2</c:v>
                </c:pt>
                <c:pt idx="45">
                  <c:v>9.2745690792773283E-2</c:v>
                </c:pt>
                <c:pt idx="46">
                  <c:v>9.3008892349173103E-2</c:v>
                </c:pt>
                <c:pt idx="47">
                  <c:v>9.3252799520452817E-2</c:v>
                </c:pt>
                <c:pt idx="48">
                  <c:v>9.3477596556880177E-2</c:v>
                </c:pt>
                <c:pt idx="49">
                  <c:v>9.3683445433573695E-2</c:v>
                </c:pt>
                <c:pt idx="50">
                  <c:v>9.3870486036159134E-2</c:v>
                </c:pt>
                <c:pt idx="51">
                  <c:v>9.4038836345952226E-2</c:v>
                </c:pt>
                <c:pt idx="52">
                  <c:v>9.4188592624666181E-2</c:v>
                </c:pt>
                <c:pt idx="53">
                  <c:v>9.4319829598645488E-2</c:v>
                </c:pt>
                <c:pt idx="54">
                  <c:v>9.4432600642624681E-2</c:v>
                </c:pt>
                <c:pt idx="55">
                  <c:v>9.4526937963012911E-2</c:v>
                </c:pt>
                <c:pt idx="56">
                  <c:v>9.4602852780703947E-2</c:v>
                </c:pt>
                <c:pt idx="57">
                  <c:v>9.4660335513411895E-2</c:v>
                </c:pt>
                <c:pt idx="58">
                  <c:v>9.4699355957532289E-2</c:v>
                </c:pt>
                <c:pt idx="59">
                  <c:v>9.4719863469528612E-2</c:v>
                </c:pt>
                <c:pt idx="60">
                  <c:v>9.4721787146844802E-2</c:v>
                </c:pt>
                <c:pt idx="61">
                  <c:v>9.4705036008342625E-2</c:v>
                </c:pt>
                <c:pt idx="62">
                  <c:v>9.4669499174265356E-2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0D-4F1D-A835-3D0F05BE1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7496"/>
        <c:axId val="511807888"/>
      </c:scatterChart>
      <c:valAx>
        <c:axId val="511807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7888"/>
        <c:crosses val="autoZero"/>
        <c:crossBetween val="midCat"/>
      </c:valAx>
      <c:valAx>
        <c:axId val="5118078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QFATC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7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QGUT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flow '!$B$10:$B$72</c:f>
              <c:numCache>
                <c:formatCode>0.00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'GUT flow '!$F$10:$F$72</c:f>
              <c:numCache>
                <c:formatCode>0.000</c:formatCode>
                <c:ptCount val="63"/>
                <c:pt idx="0">
                  <c:v>8.2895799620722439</c:v>
                </c:pt>
                <c:pt idx="1">
                  <c:v>10.230707094624247</c:v>
                </c:pt>
                <c:pt idx="2">
                  <c:v>11.844032132779418</c:v>
                </c:pt>
                <c:pt idx="3">
                  <c:v>13.614076323841708</c:v>
                </c:pt>
                <c:pt idx="4">
                  <c:v>15.833530577931596</c:v>
                </c:pt>
                <c:pt idx="5">
                  <c:v>17.96992833352293</c:v>
                </c:pt>
                <c:pt idx="6">
                  <c:v>18.942333419671069</c:v>
                </c:pt>
                <c:pt idx="7">
                  <c:v>19.915281478207685</c:v>
                </c:pt>
                <c:pt idx="8">
                  <c:v>21.670836671329479</c:v>
                </c:pt>
                <c:pt idx="9">
                  <c:v>23.332850320535211</c:v>
                </c:pt>
                <c:pt idx="10">
                  <c:v>25.003587281776745</c:v>
                </c:pt>
                <c:pt idx="11">
                  <c:v>26.811533854823043</c:v>
                </c:pt>
                <c:pt idx="12">
                  <c:v>28.936088228394404</c:v>
                </c:pt>
                <c:pt idx="14">
                  <c:v>31.389027502933949</c:v>
                </c:pt>
                <c:pt idx="15">
                  <c:v>33.622873359146602</c:v>
                </c:pt>
                <c:pt idx="16">
                  <c:v>35.053632742501435</c:v>
                </c:pt>
                <c:pt idx="17">
                  <c:v>35.784584237876537</c:v>
                </c:pt>
                <c:pt idx="18">
                  <c:v>36.123488456776379</c:v>
                </c:pt>
                <c:pt idx="19">
                  <c:v>36.254911208555058</c:v>
                </c:pt>
                <c:pt idx="20">
                  <c:v>36.264695335204998</c:v>
                </c:pt>
                <c:pt idx="21">
                  <c:v>36.194641928305224</c:v>
                </c:pt>
                <c:pt idx="22">
                  <c:v>36.068226711188963</c:v>
                </c:pt>
                <c:pt idx="23">
                  <c:v>35.900495202254547</c:v>
                </c:pt>
                <c:pt idx="24">
                  <c:v>35.70192650655509</c:v>
                </c:pt>
                <c:pt idx="25">
                  <c:v>35.489233193972801</c:v>
                </c:pt>
                <c:pt idx="26">
                  <c:v>35.174100936965878</c:v>
                </c:pt>
                <c:pt idx="27">
                  <c:v>34.973084231671528</c:v>
                </c:pt>
                <c:pt idx="28">
                  <c:v>34.762555548568145</c:v>
                </c:pt>
                <c:pt idx="29">
                  <c:v>34.676125162596442</c:v>
                </c:pt>
                <c:pt idx="30">
                  <c:v>34.597421194900434</c:v>
                </c:pt>
                <c:pt idx="31">
                  <c:v>34.526193613633552</c:v>
                </c:pt>
                <c:pt idx="32">
                  <c:v>34.462174307369686</c:v>
                </c:pt>
                <c:pt idx="33">
                  <c:v>34.405078910738155</c:v>
                </c:pt>
                <c:pt idx="34">
                  <c:v>34.354608443557048</c:v>
                </c:pt>
                <c:pt idx="35">
                  <c:v>34.310450794820397</c:v>
                </c:pt>
                <c:pt idx="36">
                  <c:v>34.272282070412416</c:v>
                </c:pt>
                <c:pt idx="37">
                  <c:v>34.239767818808936</c:v>
                </c:pt>
                <c:pt idx="38">
                  <c:v>34.212564146735644</c:v>
                </c:pt>
                <c:pt idx="39">
                  <c:v>34.190318735229162</c:v>
                </c:pt>
                <c:pt idx="40">
                  <c:v>34.172671765323621</c:v>
                </c:pt>
                <c:pt idx="41">
                  <c:v>34.159256761537499</c:v>
                </c:pt>
                <c:pt idx="42">
                  <c:v>34.149701360405331</c:v>
                </c:pt>
                <c:pt idx="43">
                  <c:v>34.143628010471176</c:v>
                </c:pt>
                <c:pt idx="44">
                  <c:v>34.140654609421077</c:v>
                </c:pt>
                <c:pt idx="45">
                  <c:v>34.140395083369192</c:v>
                </c:pt>
                <c:pt idx="46">
                  <c:v>34.142459912722551</c:v>
                </c:pt>
                <c:pt idx="47">
                  <c:v>34.146456608521092</c:v>
                </c:pt>
                <c:pt idx="48">
                  <c:v>34.151990142681917</c:v>
                </c:pt>
                <c:pt idx="49">
                  <c:v>34.158663335159574</c:v>
                </c:pt>
                <c:pt idx="50">
                  <c:v>34.166077200667772</c:v>
                </c:pt>
                <c:pt idx="51">
                  <c:v>34.173831257284583</c:v>
                </c:pt>
                <c:pt idx="52">
                  <c:v>34.181523798981289</c:v>
                </c:pt>
                <c:pt idx="53">
                  <c:v>34.188752133871212</c:v>
                </c:pt>
                <c:pt idx="54">
                  <c:v>34.195112789767002</c:v>
                </c:pt>
                <c:pt idx="55">
                  <c:v>34.200201688457966</c:v>
                </c:pt>
                <c:pt idx="56">
                  <c:v>34.203614289975746</c:v>
                </c:pt>
                <c:pt idx="57">
                  <c:v>34.204945707999848</c:v>
                </c:pt>
                <c:pt idx="58">
                  <c:v>34.203790797467242</c:v>
                </c:pt>
                <c:pt idx="59">
                  <c:v>34.199744215387234</c:v>
                </c:pt>
                <c:pt idx="60">
                  <c:v>34.192400455826366</c:v>
                </c:pt>
                <c:pt idx="61">
                  <c:v>34.181353860014461</c:v>
                </c:pt>
                <c:pt idx="62">
                  <c:v>34.166198602532724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8672"/>
        <c:axId val="511809064"/>
      </c:scatterChart>
      <c:valAx>
        <c:axId val="511808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9064"/>
        <c:crosses val="autoZero"/>
        <c:crossBetween val="midCat"/>
      </c:valAx>
      <c:valAx>
        <c:axId val="511809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QGUT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8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QGUTC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'GUT flow '!$B$10:$B$72</c:f>
              <c:numCache>
                <c:formatCode>0.00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'GUT flow '!$D$10:$D$72</c:f>
              <c:numCache>
                <c:formatCode>0.000</c:formatCode>
                <c:ptCount val="63"/>
                <c:pt idx="0">
                  <c:v>0.16757784462416769</c:v>
                </c:pt>
                <c:pt idx="1">
                  <c:v>0.16707847726882977</c:v>
                </c:pt>
                <c:pt idx="2">
                  <c:v>0.16920722732879911</c:v>
                </c:pt>
                <c:pt idx="3">
                  <c:v>0.17174360980699027</c:v>
                </c:pt>
                <c:pt idx="4">
                  <c:v>0.17657507362154204</c:v>
                </c:pt>
                <c:pt idx="5">
                  <c:v>0.18286035582701293</c:v>
                </c:pt>
                <c:pt idx="6">
                  <c:v>0.18562136318736186</c:v>
                </c:pt>
                <c:pt idx="7">
                  <c:v>0.18780413127643744</c:v>
                </c:pt>
                <c:pt idx="8">
                  <c:v>0.1906881850120562</c:v>
                </c:pt>
                <c:pt idx="9">
                  <c:v>0.19170930099784586</c:v>
                </c:pt>
                <c:pt idx="10">
                  <c:v>0.1912482632275368</c:v>
                </c:pt>
                <c:pt idx="11">
                  <c:v>0.19001069444313479</c:v>
                </c:pt>
                <c:pt idx="12">
                  <c:v>0.18911319645703425</c:v>
                </c:pt>
                <c:pt idx="14">
                  <c:v>0.18905359874814046</c:v>
                </c:pt>
                <c:pt idx="15">
                  <c:v>0.18855263156658633</c:v>
                </c:pt>
                <c:pt idx="16">
                  <c:v>0.18648495633638495</c:v>
                </c:pt>
                <c:pt idx="17">
                  <c:v>0.1836767113050369</c:v>
                </c:pt>
                <c:pt idx="18">
                  <c:v>0.18108814335967705</c:v>
                </c:pt>
                <c:pt idx="19">
                  <c:v>0.17904562169794724</c:v>
                </c:pt>
                <c:pt idx="20">
                  <c:v>0.17751138241084385</c:v>
                </c:pt>
                <c:pt idx="21">
                  <c:v>0.17634091563765464</c:v>
                </c:pt>
                <c:pt idx="22">
                  <c:v>0.17539212900099113</c:v>
                </c:pt>
                <c:pt idx="23">
                  <c:v>0.17455637627318477</c:v>
                </c:pt>
                <c:pt idx="24">
                  <c:v>0.17375963746845555</c:v>
                </c:pt>
                <c:pt idx="25">
                  <c:v>0.17288312667924435</c:v>
                </c:pt>
                <c:pt idx="26">
                  <c:v>0.17262195943875122</c:v>
                </c:pt>
                <c:pt idx="27">
                  <c:v>0.17133768050081616</c:v>
                </c:pt>
                <c:pt idx="28">
                  <c:v>0.16999999635757673</c:v>
                </c:pt>
                <c:pt idx="29">
                  <c:v>0.1692619312359418</c:v>
                </c:pt>
                <c:pt idx="30">
                  <c:v>0.16855378096173829</c:v>
                </c:pt>
                <c:pt idx="31">
                  <c:v>0.16787486524800033</c:v>
                </c:pt>
                <c:pt idx="32">
                  <c:v>0.16722453300695256</c:v>
                </c:pt>
                <c:pt idx="33">
                  <c:v>0.16660216221785279</c:v>
                </c:pt>
                <c:pt idx="34">
                  <c:v>0.16600715973025054</c:v>
                </c:pt>
                <c:pt idx="35">
                  <c:v>0.16543896104948505</c:v>
                </c:pt>
                <c:pt idx="36">
                  <c:v>0.16489703011758328</c:v>
                </c:pt>
                <c:pt idx="37">
                  <c:v>0.16438085909325875</c:v>
                </c:pt>
                <c:pt idx="38">
                  <c:v>0.16388996813204912</c:v>
                </c:pt>
                <c:pt idx="39">
                  <c:v>0.1634239051668861</c:v>
                </c:pt>
                <c:pt idx="40">
                  <c:v>0.16298224568917796</c:v>
                </c:pt>
                <c:pt idx="41">
                  <c:v>0.16256459253042926</c:v>
                </c:pt>
                <c:pt idx="42">
                  <c:v>0.16217057564440351</c:v>
                </c:pt>
                <c:pt idx="43">
                  <c:v>0.16179985188983029</c:v>
                </c:pt>
                <c:pt idx="44">
                  <c:v>0.16145210481365829</c:v>
                </c:pt>
                <c:pt idx="45">
                  <c:v>0.16112704443485343</c:v>
                </c:pt>
                <c:pt idx="46">
                  <c:v>0.16082440702874232</c:v>
                </c:pt>
                <c:pt idx="47">
                  <c:v>0.16054395491190199</c:v>
                </c:pt>
                <c:pt idx="48">
                  <c:v>0.16028547622759473</c:v>
                </c:pt>
                <c:pt idx="49">
                  <c:v>0.16004878473174819</c:v>
                </c:pt>
                <c:pt idx="50">
                  <c:v>0.15983371957948161</c:v>
                </c:pt>
                <c:pt idx="51">
                  <c:v>0.1596401451121772</c:v>
                </c:pt>
                <c:pt idx="52">
                  <c:v>0.15946795064509739</c:v>
                </c:pt>
                <c:pt idx="53">
                  <c:v>0.1593170502555471</c:v>
                </c:pt>
                <c:pt idx="54">
                  <c:v>0.15918738257158227</c:v>
                </c:pt>
                <c:pt idx="55">
                  <c:v>0.1590789105612633</c:v>
                </c:pt>
                <c:pt idx="56">
                  <c:v>0.15899162132245453</c:v>
                </c:pt>
                <c:pt idx="57">
                  <c:v>0.15892552587316894</c:v>
                </c:pt>
                <c:pt idx="58">
                  <c:v>0.15888065894245845</c:v>
                </c:pt>
                <c:pt idx="59">
                  <c:v>0.15885707876184987</c:v>
                </c:pt>
                <c:pt idx="60">
                  <c:v>0.1588548668573265</c:v>
                </c:pt>
                <c:pt idx="61">
                  <c:v>0.15887412784185501</c:v>
                </c:pt>
                <c:pt idx="62">
                  <c:v>0.15891498920845809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09848"/>
        <c:axId val="511810240"/>
      </c:scatterChart>
      <c:valAx>
        <c:axId val="511809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0240"/>
        <c:crosses val="autoZero"/>
        <c:crossBetween val="midCat"/>
      </c:valAx>
      <c:valAx>
        <c:axId val="51181024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QGUTC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09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QRAPC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tissues flow'!$B$10:$B$73</c:f>
              <c:numCache>
                <c:formatCode>0</c:formatCode>
                <c:ptCount val="64"/>
                <c:pt idx="0" formatCode="0.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tissues flow'!$D$10:$D$73</c:f>
              <c:numCache>
                <c:formatCode>0.000</c:formatCode>
                <c:ptCount val="64"/>
                <c:pt idx="0">
                  <c:v>0.21313266886852683</c:v>
                </c:pt>
                <c:pt idx="1">
                  <c:v>0.21249755211172827</c:v>
                </c:pt>
                <c:pt idx="2">
                  <c:v>0.30562218289085541</c:v>
                </c:pt>
                <c:pt idx="3">
                  <c:v>0.21843086716726853</c:v>
                </c:pt>
                <c:pt idx="4">
                  <c:v>0.22457572945289209</c:v>
                </c:pt>
                <c:pt idx="5">
                  <c:v>0.23256962013723781</c:v>
                </c:pt>
                <c:pt idx="6">
                  <c:v>0.23608135617416129</c:v>
                </c:pt>
                <c:pt idx="7">
                  <c:v>0.23885732516283753</c:v>
                </c:pt>
                <c:pt idx="8">
                  <c:v>0.242525388033626</c:v>
                </c:pt>
                <c:pt idx="9">
                  <c:v>0.24382408700999578</c:v>
                </c:pt>
                <c:pt idx="10">
                  <c:v>0.24323771945851222</c:v>
                </c:pt>
                <c:pt idx="11">
                  <c:v>0.24166372655676838</c:v>
                </c:pt>
                <c:pt idx="12">
                  <c:v>0.24049496705472864</c:v>
                </c:pt>
                <c:pt idx="13">
                  <c:v>0.24040480897675659</c:v>
                </c:pt>
                <c:pt idx="14">
                  <c:v>0.24044645132391043</c:v>
                </c:pt>
                <c:pt idx="15">
                  <c:v>0.2398092998397173</c:v>
                </c:pt>
                <c:pt idx="16">
                  <c:v>0.2371795420626405</c:v>
                </c:pt>
                <c:pt idx="17">
                  <c:v>0.23360789594372594</c:v>
                </c:pt>
                <c:pt idx="18">
                  <c:v>0.23031564453674902</c:v>
                </c:pt>
                <c:pt idx="19">
                  <c:v>0.22771787814368805</c:v>
                </c:pt>
                <c:pt idx="20">
                  <c:v>0.22576656701018674</c:v>
                </c:pt>
                <c:pt idx="21">
                  <c:v>0.22427791731576424</c:v>
                </c:pt>
                <c:pt idx="22">
                  <c:v>0.2230712098986089</c:v>
                </c:pt>
                <c:pt idx="23">
                  <c:v>0.22200826384036951</c:v>
                </c:pt>
                <c:pt idx="24">
                  <c:v>0.22099493735783896</c:v>
                </c:pt>
                <c:pt idx="25">
                  <c:v>0.21988015345418141</c:v>
                </c:pt>
                <c:pt idx="26">
                  <c:v>0.21954798978951462</c:v>
                </c:pt>
                <c:pt idx="27">
                  <c:v>0.2179145889170567</c:v>
                </c:pt>
                <c:pt idx="28">
                  <c:v>0.21621326502074367</c:v>
                </c:pt>
                <c:pt idx="29">
                  <c:v>0.21527456223741556</c:v>
                </c:pt>
                <c:pt idx="30">
                  <c:v>0.2143739064362894</c:v>
                </c:pt>
                <c:pt idx="31">
                  <c:v>0.21351043239931108</c:v>
                </c:pt>
                <c:pt idx="32">
                  <c:v>0.21268331204520571</c:v>
                </c:pt>
                <c:pt idx="33">
                  <c:v>0.21189175426139406</c:v>
                </c:pt>
                <c:pt idx="34">
                  <c:v>0.21113500465376847</c:v>
                </c:pt>
                <c:pt idx="35">
                  <c:v>0.21041234527388011</c:v>
                </c:pt>
                <c:pt idx="36">
                  <c:v>0.20972309434027564</c:v>
                </c:pt>
                <c:pt idx="37">
                  <c:v>0.20906660595869025</c:v>
                </c:pt>
                <c:pt idx="38">
                  <c:v>0.20844226984241732</c:v>
                </c:pt>
                <c:pt idx="39">
                  <c:v>0.20784951103322771</c:v>
                </c:pt>
                <c:pt idx="40">
                  <c:v>0.2072877896229415</c:v>
                </c:pt>
                <c:pt idx="41">
                  <c:v>0.20675660047568209</c:v>
                </c:pt>
                <c:pt idx="42">
                  <c:v>0.20625547295082178</c:v>
                </c:pt>
                <c:pt idx="43">
                  <c:v>0.20578397062661918</c:v>
                </c:pt>
                <c:pt idx="44">
                  <c:v>0.20534169102455138</c:v>
                </c:pt>
                <c:pt idx="45">
                  <c:v>0.20492826533433872</c:v>
                </c:pt>
                <c:pt idx="46">
                  <c:v>0.20454335813966412</c:v>
                </c:pt>
                <c:pt idx="47">
                  <c:v>0.20418666714458619</c:v>
                </c:pt>
                <c:pt idx="48">
                  <c:v>0.20385792290064639</c:v>
                </c:pt>
                <c:pt idx="49">
                  <c:v>0.20355688853466919</c:v>
                </c:pt>
                <c:pt idx="50">
                  <c:v>0.20328335947725715</c:v>
                </c:pt>
                <c:pt idx="51">
                  <c:v>0.20303716319197898</c:v>
                </c:pt>
                <c:pt idx="52">
                  <c:v>0.20281815890525229</c:v>
                </c:pt>
                <c:pt idx="53">
                  <c:v>0.2026262373369192</c:v>
                </c:pt>
                <c:pt idx="54">
                  <c:v>0.20246132043151671</c:v>
                </c:pt>
                <c:pt idx="55">
                  <c:v>0.20232336109024068</c:v>
                </c:pt>
                <c:pt idx="56">
                  <c:v>0.20221234290360307</c:v>
                </c:pt>
                <c:pt idx="57">
                  <c:v>0.20212827988478399</c:v>
                </c:pt>
                <c:pt idx="58">
                  <c:v>0.20207121620367677</c:v>
                </c:pt>
                <c:pt idx="59">
                  <c:v>0.20204122592162738</c:v>
                </c:pt>
                <c:pt idx="60">
                  <c:v>0.20203841272686762</c:v>
                </c:pt>
                <c:pt idx="61">
                  <c:v>0.20206290967064203</c:v>
                </c:pt>
                <c:pt idx="62">
                  <c:v>0.20211487890402882</c:v>
                </c:pt>
                <c:pt idx="63">
                  <c:v>0.20219451141545425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85-4F63-BA9E-DC02A5E84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11024"/>
        <c:axId val="511811416"/>
      </c:scatterChart>
      <c:valAx>
        <c:axId val="51181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1416"/>
        <c:crosses val="autoZero"/>
        <c:crossBetween val="midCat"/>
      </c:valAx>
      <c:valAx>
        <c:axId val="51181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QRapC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QRAP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'Rap perf tissues flow'!$B$10:$B$73</c:f>
              <c:numCache>
                <c:formatCode>0</c:formatCode>
                <c:ptCount val="64"/>
                <c:pt idx="0" formatCode="0.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'Rap perf tissues flow'!$F$10:$F$73</c:f>
              <c:numCache>
                <c:formatCode>0.000</c:formatCode>
                <c:ptCount val="64"/>
                <c:pt idx="0">
                  <c:v>10.543042280308203</c:v>
                </c:pt>
                <c:pt idx="1">
                  <c:v>13.011850775260365</c:v>
                </c:pt>
                <c:pt idx="2">
                  <c:v>21.392697060247787</c:v>
                </c:pt>
                <c:pt idx="3">
                  <c:v>17.314964442869694</c:v>
                </c:pt>
                <c:pt idx="4">
                  <c:v>20.137761273003662</c:v>
                </c:pt>
                <c:pt idx="5">
                  <c:v>22.854923296629813</c:v>
                </c:pt>
                <c:pt idx="6">
                  <c:v>24.091686894386296</c:v>
                </c:pt>
                <c:pt idx="7">
                  <c:v>25.329106614527959</c:v>
                </c:pt>
                <c:pt idx="8">
                  <c:v>27.561896781361796</c:v>
                </c:pt>
                <c:pt idx="9">
                  <c:v>29.675716812557315</c:v>
                </c:pt>
                <c:pt idx="10">
                  <c:v>31.80063152503206</c:v>
                </c:pt>
                <c:pt idx="11">
                  <c:v>34.100055289248999</c:v>
                </c:pt>
                <c:pt idx="12">
                  <c:v>36.797979810792775</c:v>
                </c:pt>
                <c:pt idx="13">
                  <c:v>37.630516668169903</c:v>
                </c:pt>
                <c:pt idx="14">
                  <c:v>39.921907456751491</c:v>
                </c:pt>
                <c:pt idx="15">
                  <c:v>42.763008141888484</c:v>
                </c:pt>
                <c:pt idx="16">
                  <c:v>44.582709108725737</c:v>
                </c:pt>
                <c:pt idx="17">
                  <c:v>45.512364477978963</c:v>
                </c:pt>
                <c:pt idx="18">
                  <c:v>45.943397356023908</c:v>
                </c:pt>
                <c:pt idx="19">
                  <c:v>46.11054643172335</c:v>
                </c:pt>
                <c:pt idx="20">
                  <c:v>46.122990302392097</c:v>
                </c:pt>
                <c:pt idx="21">
                  <c:v>46.033893383826474</c:v>
                </c:pt>
                <c:pt idx="22">
                  <c:v>45.873113104846226</c:v>
                </c:pt>
                <c:pt idx="23">
                  <c:v>45.659784999136832</c:v>
                </c:pt>
                <c:pt idx="24">
                  <c:v>45.407236840619319</c:v>
                </c:pt>
                <c:pt idx="25">
                  <c:v>45.136724390343929</c:v>
                </c:pt>
                <c:pt idx="26">
                  <c:v>44.735925709986873</c:v>
                </c:pt>
                <c:pt idx="27">
                  <c:v>44.48026406818316</c:v>
                </c:pt>
                <c:pt idx="28">
                  <c:v>44.212504686244372</c:v>
                </c:pt>
                <c:pt idx="29">
                  <c:v>44.102578825371765</c:v>
                </c:pt>
                <c:pt idx="30">
                  <c:v>44.002479753664453</c:v>
                </c:pt>
                <c:pt idx="31">
                  <c:v>43.911889469927914</c:v>
                </c:pt>
                <c:pt idx="32">
                  <c:v>43.830466978585278</c:v>
                </c:pt>
                <c:pt idx="33">
                  <c:v>43.757850611597888</c:v>
                </c:pt>
                <c:pt idx="34">
                  <c:v>43.693660113185189</c:v>
                </c:pt>
                <c:pt idx="35">
                  <c:v>43.637498527223102</c:v>
                </c:pt>
                <c:pt idx="36">
                  <c:v>43.588953911324595</c:v>
                </c:pt>
                <c:pt idx="37">
                  <c:v>43.54760089573918</c:v>
                </c:pt>
                <c:pt idx="38">
                  <c:v>43.513002102294813</c:v>
                </c:pt>
                <c:pt idx="39">
                  <c:v>43.484709436667742</c:v>
                </c:pt>
                <c:pt idx="40">
                  <c:v>43.462265265710386</c:v>
                </c:pt>
                <c:pt idx="41">
                  <c:v>43.445203490233858</c:v>
                </c:pt>
                <c:pt idx="42">
                  <c:v>43.433050522459531</c:v>
                </c:pt>
                <c:pt idx="43">
                  <c:v>43.425326176300636</c:v>
                </c:pt>
                <c:pt idx="44">
                  <c:v>43.421544477694567</c:v>
                </c:pt>
                <c:pt idx="45">
                  <c:v>43.421214401363756</c:v>
                </c:pt>
                <c:pt idx="46">
                  <c:v>43.42384053963297</c:v>
                </c:pt>
                <c:pt idx="47">
                  <c:v>43.428923708258921</c:v>
                </c:pt>
                <c:pt idx="48">
                  <c:v>43.435961493633336</c:v>
                </c:pt>
                <c:pt idx="49">
                  <c:v>43.444448745189916</c:v>
                </c:pt>
                <c:pt idx="50">
                  <c:v>43.453878016379903</c:v>
                </c:pt>
                <c:pt idx="51">
                  <c:v>43.463739957169309</c:v>
                </c:pt>
                <c:pt idx="52">
                  <c:v>43.473523660652774</c:v>
                </c:pt>
                <c:pt idx="53">
                  <c:v>43.482716966068658</c:v>
                </c:pt>
                <c:pt idx="54">
                  <c:v>43.490806720235518</c:v>
                </c:pt>
                <c:pt idx="55">
                  <c:v>43.497278999205577</c:v>
                </c:pt>
                <c:pt idx="56">
                  <c:v>43.501619291747829</c:v>
                </c:pt>
                <c:pt idx="57">
                  <c:v>43.503312646125863</c:v>
                </c:pt>
                <c:pt idx="58">
                  <c:v>43.501843781523441</c:v>
                </c:pt>
                <c:pt idx="59">
                  <c:v>43.496697165391446</c:v>
                </c:pt>
                <c:pt idx="60">
                  <c:v>43.487357057943193</c:v>
                </c:pt>
                <c:pt idx="61">
                  <c:v>43.473307525007712</c:v>
                </c:pt>
                <c:pt idx="62">
                  <c:v>43.454032420463214</c:v>
                </c:pt>
                <c:pt idx="63">
                  <c:v>43.429015339514102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3F-4557-845B-CEB206D88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1812984"/>
        <c:axId val="511813376"/>
      </c:scatterChart>
      <c:valAx>
        <c:axId val="51181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3376"/>
        <c:crosses val="autoZero"/>
        <c:crossBetween val="midCat"/>
      </c:valAx>
      <c:valAx>
        <c:axId val="51181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QRap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181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QLIV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flow'!$B$10:$B$72</c:f>
              <c:numCache>
                <c:formatCode>0.0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'Liver flow'!$I$10:$I$72</c:f>
              <c:numCache>
                <c:formatCode>0.00</c:formatCode>
                <c:ptCount val="63"/>
                <c:pt idx="0">
                  <c:v>13.503073019640391</c:v>
                </c:pt>
                <c:pt idx="1">
                  <c:v>16.268012135301703</c:v>
                </c:pt>
                <c:pt idx="2">
                  <c:v>18.465838236839257</c:v>
                </c:pt>
                <c:pt idx="3">
                  <c:v>20.895828174552676</c:v>
                </c:pt>
                <c:pt idx="4">
                  <c:v>23.746508113078047</c:v>
                </c:pt>
                <c:pt idx="5">
                  <c:v>26.396883035770571</c:v>
                </c:pt>
                <c:pt idx="6">
                  <c:v>27.585555195041294</c:v>
                </c:pt>
                <c:pt idx="7">
                  <c:v>28.790936679484499</c:v>
                </c:pt>
                <c:pt idx="8">
                  <c:v>30.963206731163066</c:v>
                </c:pt>
                <c:pt idx="9">
                  <c:v>33.043660744216929</c:v>
                </c:pt>
                <c:pt idx="10">
                  <c:v>35.16099298980231</c:v>
                </c:pt>
                <c:pt idx="11">
                  <c:v>37.465673906159822</c:v>
                </c:pt>
                <c:pt idx="12">
                  <c:v>40.154929355786059</c:v>
                </c:pt>
                <c:pt idx="13">
                  <c:v>40.979740481992351</c:v>
                </c:pt>
                <c:pt idx="14">
                  <c:v>43.223199053546359</c:v>
                </c:pt>
                <c:pt idx="15">
                  <c:v>46.014590333690542</c:v>
                </c:pt>
                <c:pt idx="16">
                  <c:v>47.8421178297842</c:v>
                </c:pt>
                <c:pt idx="17">
                  <c:v>48.820975114848657</c:v>
                </c:pt>
                <c:pt idx="18">
                  <c:v>49.307162152780272</c:v>
                </c:pt>
                <c:pt idx="19">
                  <c:v>49.518932552671181</c:v>
                </c:pt>
                <c:pt idx="20">
                  <c:v>49.563683637748916</c:v>
                </c:pt>
                <c:pt idx="21">
                  <c:v>49.498362566280285</c:v>
                </c:pt>
                <c:pt idx="22">
                  <c:v>49.357386547097455</c:v>
                </c:pt>
                <c:pt idx="23">
                  <c:v>49.163543772515347</c:v>
                </c:pt>
                <c:pt idx="24">
                  <c:v>48.932626269728146</c:v>
                </c:pt>
                <c:pt idx="25">
                  <c:v>48.689977745477492</c:v>
                </c:pt>
                <c:pt idx="26">
                  <c:v>48.544290149009193</c:v>
                </c:pt>
                <c:pt idx="27">
                  <c:v>48.317374881543898</c:v>
                </c:pt>
                <c:pt idx="28">
                  <c:v>48.084133873605765</c:v>
                </c:pt>
                <c:pt idx="29">
                  <c:v>47.978080707011173</c:v>
                </c:pt>
                <c:pt idx="30">
                  <c:v>47.88274077561163</c:v>
                </c:pt>
                <c:pt idx="31">
                  <c:v>47.797755866147945</c:v>
                </c:pt>
                <c:pt idx="32">
                  <c:v>47.722744687720223</c:v>
                </c:pt>
                <c:pt idx="33">
                  <c:v>47.657305092088841</c:v>
                </c:pt>
                <c:pt idx="34">
                  <c:v>47.601016066543892</c:v>
                </c:pt>
                <c:pt idx="35">
                  <c:v>47.553439539002746</c:v>
                </c:pt>
                <c:pt idx="36">
                  <c:v>47.514122018792492</c:v>
                </c:pt>
                <c:pt idx="37">
                  <c:v>47.482596090647533</c:v>
                </c:pt>
                <c:pt idx="38">
                  <c:v>47.458381776557736</c:v>
                </c:pt>
                <c:pt idx="39">
                  <c:v>47.440987778207727</c:v>
                </c:pt>
                <c:pt idx="40">
                  <c:v>47.429912611241789</c:v>
                </c:pt>
                <c:pt idx="41">
                  <c:v>47.424645641309425</c:v>
                </c:pt>
                <c:pt idx="42">
                  <c:v>47.424668030716681</c:v>
                </c:pt>
                <c:pt idx="43">
                  <c:v>47.429453603507753</c:v>
                </c:pt>
                <c:pt idx="44">
                  <c:v>47.438469635910764</c:v>
                </c:pt>
                <c:pt idx="45">
                  <c:v>47.451177578286462</c:v>
                </c:pt>
                <c:pt idx="46">
                  <c:v>47.467033714013276</c:v>
                </c:pt>
                <c:pt idx="47">
                  <c:v>47.485489760111349</c:v>
                </c:pt>
                <c:pt idx="48">
                  <c:v>47.505993413850803</c:v>
                </c:pt>
                <c:pt idx="49">
                  <c:v>47.527988849092942</c:v>
                </c:pt>
                <c:pt idx="50">
                  <c:v>47.550917165676978</c:v>
                </c:pt>
                <c:pt idx="51">
                  <c:v>47.574216794779318</c:v>
                </c:pt>
                <c:pt idx="52">
                  <c:v>47.597323862836383</c:v>
                </c:pt>
                <c:pt idx="53">
                  <c:v>47.619672516328947</c:v>
                </c:pt>
                <c:pt idx="54">
                  <c:v>47.640695209476412</c:v>
                </c:pt>
                <c:pt idx="55">
                  <c:v>47.659822956673231</c:v>
                </c:pt>
                <c:pt idx="56">
                  <c:v>47.67648555132444</c:v>
                </c:pt>
                <c:pt idx="57">
                  <c:v>47.690111752589516</c:v>
                </c:pt>
                <c:pt idx="58">
                  <c:v>47.7001294414314</c:v>
                </c:pt>
                <c:pt idx="59">
                  <c:v>47.705965747280977</c:v>
                </c:pt>
                <c:pt idx="60">
                  <c:v>47.707047146571064</c:v>
                </c:pt>
                <c:pt idx="61">
                  <c:v>47.702799534362804</c:v>
                </c:pt>
                <c:pt idx="62">
                  <c:v>47.692648270282021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9-4628-82C4-F8DF50C66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69832"/>
        <c:axId val="512739608"/>
      </c:scatterChart>
      <c:valAx>
        <c:axId val="503369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739608"/>
        <c:crosses val="autoZero"/>
        <c:crossBetween val="midCat"/>
      </c:valAx>
      <c:valAx>
        <c:axId val="512739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QLIV (L/h)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69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QLIVC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'Liver flow'!$B$10:$B$72</c:f>
              <c:numCache>
                <c:formatCode>0.0</c:formatCode>
                <c:ptCount val="6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</c:numCache>
            </c:numRef>
          </c:xVal>
          <c:yVal>
            <c:numRef>
              <c:f>'Liver flow'!$H$10:$H$72</c:f>
              <c:numCache>
                <c:formatCode>0.000</c:formatCode>
                <c:ptCount val="63"/>
                <c:pt idx="0">
                  <c:v>0.27297111346862812</c:v>
                </c:pt>
                <c:pt idx="1">
                  <c:v>0.2656741778078322</c:v>
                </c:pt>
                <c:pt idx="2">
                  <c:v>0.26380824142736076</c:v>
                </c:pt>
                <c:pt idx="3">
                  <c:v>0.2636039989227561</c:v>
                </c:pt>
                <c:pt idx="4">
                  <c:v>0.26482036951161508</c:v>
                </c:pt>
                <c:pt idx="5">
                  <c:v>0.26861228019704325</c:v>
                </c:pt>
                <c:pt idx="6">
                  <c:v>0.27031877467990917</c:v>
                </c:pt>
                <c:pt idx="7">
                  <c:v>0.2715029088412424</c:v>
                </c:pt>
                <c:pt idx="8">
                  <c:v>0.27245453340202502</c:v>
                </c:pt>
                <c:pt idx="9">
                  <c:v>0.27149606741824239</c:v>
                </c:pt>
                <c:pt idx="10">
                  <c:v>0.26894056308297248</c:v>
                </c:pt>
                <c:pt idx="11">
                  <c:v>0.26551553354747248</c:v>
                </c:pt>
                <c:pt idx="12">
                  <c:v>0.26243447227698974</c:v>
                </c:pt>
                <c:pt idx="13">
                  <c:v>0.26180152585636957</c:v>
                </c:pt>
                <c:pt idx="14">
                  <c:v>0.26032986621571386</c:v>
                </c:pt>
                <c:pt idx="15">
                  <c:v>0.25804374317448198</c:v>
                </c:pt>
                <c:pt idx="16">
                  <c:v>0.25451956206838572</c:v>
                </c:pt>
                <c:pt idx="17">
                  <c:v>0.25059048030824815</c:v>
                </c:pt>
                <c:pt idx="18">
                  <c:v>0.2471782994952289</c:v>
                </c:pt>
                <c:pt idx="19">
                  <c:v>0.24455026282396708</c:v>
                </c:pt>
                <c:pt idx="20">
                  <c:v>0.24260835279565979</c:v>
                </c:pt>
                <c:pt idx="21">
                  <c:v>0.24115687053327289</c:v>
                </c:pt>
                <c:pt idx="22">
                  <c:v>0.24001449191664273</c:v>
                </c:pt>
                <c:pt idx="23">
                  <c:v>0.23904433622239957</c:v>
                </c:pt>
                <c:pt idx="24">
                  <c:v>0.23815284588203592</c:v>
                </c:pt>
                <c:pt idx="25">
                  <c:v>0.23718955956508414</c:v>
                </c:pt>
                <c:pt idx="26">
                  <c:v>0.23823808603103641</c:v>
                </c:pt>
                <c:pt idx="27">
                  <c:v>0.23671309299610077</c:v>
                </c:pt>
                <c:pt idx="28">
                  <c:v>0.23514676796271694</c:v>
                </c:pt>
                <c:pt idx="29">
                  <c:v>0.23419175468377293</c:v>
                </c:pt>
                <c:pt idx="30">
                  <c:v>0.23327799361328566</c:v>
                </c:pt>
                <c:pt idx="31">
                  <c:v>0.23240447281793336</c:v>
                </c:pt>
                <c:pt idx="32">
                  <c:v>0.23157023184423509</c:v>
                </c:pt>
                <c:pt idx="33">
                  <c:v>0.23077436021632833</c:v>
                </c:pt>
                <c:pt idx="34">
                  <c:v>0.23001599597514713</c:v>
                </c:pt>
                <c:pt idx="35">
                  <c:v>0.2292943243068602</c:v>
                </c:pt>
                <c:pt idx="36">
                  <c:v>0.22860857626715575</c:v>
                </c:pt>
                <c:pt idx="37">
                  <c:v>0.22795802759711481</c:v>
                </c:pt>
                <c:pt idx="38">
                  <c:v>0.22734199762401597</c:v>
                </c:pt>
                <c:pt idx="39">
                  <c:v>0.22675984824033424</c:v>
                </c:pt>
                <c:pt idx="40">
                  <c:v>0.2262109829546845</c:v>
                </c:pt>
                <c:pt idx="41">
                  <c:v>0.22569484600906931</c:v>
                </c:pt>
                <c:pt idx="42">
                  <c:v>0.2252109215573761</c:v>
                </c:pt>
                <c:pt idx="43">
                  <c:v>0.22475873290060575</c:v>
                </c:pt>
                <c:pt idx="44">
                  <c:v>0.22433784177480615</c:v>
                </c:pt>
                <c:pt idx="45">
                  <c:v>0.22394784768812231</c:v>
                </c:pt>
                <c:pt idx="46">
                  <c:v>0.22358838730377745</c:v>
                </c:pt>
                <c:pt idx="47">
                  <c:v>0.22325913386616195</c:v>
                </c:pt>
                <c:pt idx="48">
                  <c:v>0.22295979666753601</c:v>
                </c:pt>
                <c:pt idx="49">
                  <c:v>0.22269012055315746</c:v>
                </c:pt>
                <c:pt idx="50">
                  <c:v>0.22244988546292421</c:v>
                </c:pt>
                <c:pt idx="51">
                  <c:v>0.22223890600787788</c:v>
                </c:pt>
                <c:pt idx="52">
                  <c:v>0.22205703108015684</c:v>
                </c:pt>
                <c:pt idx="53">
                  <c:v>0.22190414349520854</c:v>
                </c:pt>
                <c:pt idx="54">
                  <c:v>0.2217801596652883</c:v>
                </c:pt>
                <c:pt idx="55">
                  <c:v>0.2216850293034664</c:v>
                </c:pt>
                <c:pt idx="56">
                  <c:v>0.22161873515756531</c:v>
                </c:pt>
                <c:pt idx="57">
                  <c:v>0.22158129277363148</c:v>
                </c:pt>
                <c:pt idx="58">
                  <c:v>0.22157275028873039</c:v>
                </c:pt>
                <c:pt idx="59">
                  <c:v>0.22159318825303437</c:v>
                </c:pt>
                <c:pt idx="60">
                  <c:v>0.22164271948135111</c:v>
                </c:pt>
                <c:pt idx="61">
                  <c:v>0.2217214889344214</c:v>
                </c:pt>
                <c:pt idx="62">
                  <c:v>0.2218296736304993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0-470D-A807-BF094A1A4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740392"/>
        <c:axId val="512740784"/>
      </c:scatterChart>
      <c:valAx>
        <c:axId val="512740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740784"/>
        <c:crosses val="autoZero"/>
        <c:crossBetween val="midCat"/>
      </c:valAx>
      <c:valAx>
        <c:axId val="5127407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QLIVC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740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Mean Body surface area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BSA!$B$5:$B$68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BSA!$E$5:$E$68</c:f>
              <c:numCache>
                <c:formatCode>0.00</c:formatCode>
                <c:ptCount val="64"/>
                <c:pt idx="0">
                  <c:v>0.36748414020496839</c:v>
                </c:pt>
                <c:pt idx="1">
                  <c:v>0.45489149627609493</c:v>
                </c:pt>
                <c:pt idx="2">
                  <c:v>0.52107960864925573</c:v>
                </c:pt>
                <c:pt idx="3">
                  <c:v>0.5745329000718814</c:v>
                </c:pt>
                <c:pt idx="4">
                  <c:v>0.65722835067297258</c:v>
                </c:pt>
                <c:pt idx="5">
                  <c:v>0.72810004960674624</c:v>
                </c:pt>
                <c:pt idx="6">
                  <c:v>0.76132749840348457</c:v>
                </c:pt>
                <c:pt idx="7">
                  <c:v>0.79391925200613322</c:v>
                </c:pt>
                <c:pt idx="8">
                  <c:v>0.85943090632727492</c:v>
                </c:pt>
                <c:pt idx="9">
                  <c:v>0.9293519107771181</c:v>
                </c:pt>
                <c:pt idx="10">
                  <c:v>1.0076015223431993</c:v>
                </c:pt>
                <c:pt idx="11">
                  <c:v>1.0972046010210692</c:v>
                </c:pt>
                <c:pt idx="12">
                  <c:v>1.1999235804208825</c:v>
                </c:pt>
                <c:pt idx="13">
                  <c:v>1.2330411286523226</c:v>
                </c:pt>
                <c:pt idx="14">
                  <c:v>1.3126591223931585</c:v>
                </c:pt>
                <c:pt idx="15">
                  <c:v>1.4207481907426538</c:v>
                </c:pt>
                <c:pt idx="16">
                  <c:v>1.5086662024414661</c:v>
                </c:pt>
                <c:pt idx="17">
                  <c:v>1.5745961074725983</c:v>
                </c:pt>
                <c:pt idx="18">
                  <c:v>1.6228785191873281</c:v>
                </c:pt>
                <c:pt idx="19">
                  <c:v>1.657623441223901</c:v>
                </c:pt>
                <c:pt idx="20">
                  <c:v>1.6821945646287926</c:v>
                </c:pt>
                <c:pt idx="21">
                  <c:v>1.6993651152787927</c:v>
                </c:pt>
                <c:pt idx="22">
                  <c:v>1.7113198725208658</c:v>
                </c:pt>
                <c:pt idx="23">
                  <c:v>1.719684594176941</c:v>
                </c:pt>
                <c:pt idx="24">
                  <c:v>1.7256150344033536</c:v>
                </c:pt>
                <c:pt idx="25">
                  <c:v>1.7310712097433181</c:v>
                </c:pt>
                <c:pt idx="26">
                  <c:v>1.7247402821960902</c:v>
                </c:pt>
                <c:pt idx="27">
                  <c:v>1.7336573399662447</c:v>
                </c:pt>
                <c:pt idx="28">
                  <c:v>1.7421835611066414</c:v>
                </c:pt>
                <c:pt idx="29">
                  <c:v>1.7503251910137387</c:v>
                </c:pt>
                <c:pt idx="30">
                  <c:v>1.7580881141407607</c:v>
                </c:pt>
                <c:pt idx="31">
                  <c:v>1.7654778803718021</c:v>
                </c:pt>
                <c:pt idx="32">
                  <c:v>1.7724997251255588</c:v>
                </c:pt>
                <c:pt idx="33">
                  <c:v>1.7791585866113251</c:v>
                </c:pt>
                <c:pt idx="34">
                  <c:v>1.7854591213030413</c:v>
                </c:pt>
                <c:pt idx="35">
                  <c:v>1.791405718020088</c:v>
                </c:pt>
                <c:pt idx="36">
                  <c:v>1.7970025108023571</c:v>
                </c:pt>
                <c:pt idx="37">
                  <c:v>1.8022533907017566</c:v>
                </c:pt>
                <c:pt idx="38">
                  <c:v>1.8071620165861177</c:v>
                </c:pt>
                <c:pt idx="39">
                  <c:v>1.8117318250374792</c:v>
                </c:pt>
                <c:pt idx="40">
                  <c:v>1.8159660394167008</c:v>
                </c:pt>
                <c:pt idx="41">
                  <c:v>1.8198676781583289</c:v>
                </c:pt>
                <c:pt idx="42">
                  <c:v>1.823439562352613</c:v>
                </c:pt>
                <c:pt idx="43">
                  <c:v>1.8266843226654108</c:v>
                </c:pt>
                <c:pt idx="44">
                  <c:v>1.8296044056411949</c:v>
                </c:pt>
                <c:pt idx="45">
                  <c:v>1.8322020794294125</c:v>
                </c:pt>
                <c:pt idx="46">
                  <c:v>1.8344794389700327</c:v>
                </c:pt>
                <c:pt idx="47">
                  <c:v>1.8364384106700116</c:v>
                </c:pt>
                <c:pt idx="48">
                  <c:v>1.8380807565988027</c:v>
                </c:pt>
                <c:pt idx="49">
                  <c:v>1.839408078227633</c:v>
                </c:pt>
                <c:pt idx="50">
                  <c:v>1.8404218197342088</c:v>
                </c:pt>
                <c:pt idx="51">
                  <c:v>1.8411232708916732</c:v>
                </c:pt>
                <c:pt idx="52">
                  <c:v>1.8415135695579758</c:v>
                </c:pt>
                <c:pt idx="53">
                  <c:v>1.8415937037793497</c:v>
                </c:pt>
                <c:pt idx="54">
                  <c:v>1.8413645135192667</c:v>
                </c:pt>
                <c:pt idx="55">
                  <c:v>1.8408266920219878</c:v>
                </c:pt>
                <c:pt idx="56">
                  <c:v>1.8399807868177513</c:v>
                </c:pt>
                <c:pt idx="57">
                  <c:v>1.8388272003745252</c:v>
                </c:pt>
                <c:pt idx="58">
                  <c:v>1.8373661903992933</c:v>
                </c:pt>
                <c:pt idx="59">
                  <c:v>1.8355978697898137</c:v>
                </c:pt>
                <c:pt idx="60">
                  <c:v>1.8335222062358454</c:v>
                </c:pt>
                <c:pt idx="61">
                  <c:v>1.8311390214668306</c:v>
                </c:pt>
                <c:pt idx="62">
                  <c:v>1.8284479901409971</c:v>
                </c:pt>
                <c:pt idx="63">
                  <c:v>1.8254486383687709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3D-4D11-9CB5-5CC5EAB81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1744"/>
        <c:axId val="500902136"/>
      </c:scatterChart>
      <c:valAx>
        <c:axId val="5009017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2136"/>
        <c:crosses val="autoZero"/>
        <c:crossBetween val="midCat"/>
      </c:valAx>
      <c:valAx>
        <c:axId val="500902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Body surface</a:t>
                </a:r>
                <a:r>
                  <a:rPr lang="en-US" baseline="0"/>
                  <a:t> area (m^2)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665069829434604E-2"/>
              <c:y val="0.18229392020584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MPPGL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212270341207346"/>
          <c:y val="0.17171296296296296"/>
          <c:w val="0.77465507436570424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MPPGL!$C$8:$C$72</c:f>
              <c:numCache>
                <c:formatCode>General</c:formatCode>
                <c:ptCount val="65"/>
                <c:pt idx="0">
                  <c:v>1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10.3</c:v>
                </c:pt>
                <c:pt idx="15">
                  <c:v>11</c:v>
                </c:pt>
                <c:pt idx="16">
                  <c:v>12</c:v>
                </c:pt>
                <c:pt idx="17">
                  <c:v>13</c:v>
                </c:pt>
                <c:pt idx="18">
                  <c:v>14</c:v>
                </c:pt>
                <c:pt idx="19">
                  <c:v>15</c:v>
                </c:pt>
                <c:pt idx="20">
                  <c:v>16</c:v>
                </c:pt>
                <c:pt idx="21">
                  <c:v>17</c:v>
                </c:pt>
                <c:pt idx="22">
                  <c:v>18</c:v>
                </c:pt>
                <c:pt idx="23">
                  <c:v>19</c:v>
                </c:pt>
                <c:pt idx="24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24</c:v>
                </c:pt>
                <c:pt idx="29">
                  <c:v>25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32</c:v>
                </c:pt>
                <c:pt idx="37">
                  <c:v>33</c:v>
                </c:pt>
                <c:pt idx="38">
                  <c:v>34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38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42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46</c:v>
                </c:pt>
                <c:pt idx="51">
                  <c:v>47</c:v>
                </c:pt>
                <c:pt idx="52">
                  <c:v>48</c:v>
                </c:pt>
                <c:pt idx="53">
                  <c:v>49</c:v>
                </c:pt>
                <c:pt idx="54">
                  <c:v>50</c:v>
                </c:pt>
                <c:pt idx="55">
                  <c:v>51</c:v>
                </c:pt>
                <c:pt idx="56">
                  <c:v>52</c:v>
                </c:pt>
                <c:pt idx="57">
                  <c:v>53</c:v>
                </c:pt>
                <c:pt idx="58">
                  <c:v>54</c:v>
                </c:pt>
                <c:pt idx="59">
                  <c:v>55</c:v>
                </c:pt>
                <c:pt idx="60">
                  <c:v>56</c:v>
                </c:pt>
                <c:pt idx="61">
                  <c:v>57</c:v>
                </c:pt>
                <c:pt idx="62">
                  <c:v>58</c:v>
                </c:pt>
                <c:pt idx="63">
                  <c:v>59</c:v>
                </c:pt>
                <c:pt idx="64">
                  <c:v>60</c:v>
                </c:pt>
              </c:numCache>
            </c:numRef>
          </c:xVal>
          <c:yVal>
            <c:numRef>
              <c:f>MPPGL!$E$8:$E$72</c:f>
              <c:numCache>
                <c:formatCode>0.00</c:formatCode>
                <c:ptCount val="65"/>
                <c:pt idx="0">
                  <c:v>26.449800458686262</c:v>
                </c:pt>
                <c:pt idx="1">
                  <c:v>25.989941382624774</c:v>
                </c:pt>
                <c:pt idx="2">
                  <c:v>26.449800458686262</c:v>
                </c:pt>
                <c:pt idx="3">
                  <c:v>26.906245469077234</c:v>
                </c:pt>
                <c:pt idx="4">
                  <c:v>27.358935780154567</c:v>
                </c:pt>
                <c:pt idx="5">
                  <c:v>28.251713927342564</c:v>
                </c:pt>
                <c:pt idx="6">
                  <c:v>29.125514105606705</c:v>
                </c:pt>
                <c:pt idx="7">
                  <c:v>29.554505689293599</c:v>
                </c:pt>
                <c:pt idx="8">
                  <c:v>29.977816715823824</c:v>
                </c:pt>
                <c:pt idx="9">
                  <c:v>30.806219108338436</c:v>
                </c:pt>
                <c:pt idx="10">
                  <c:v>31.608450026392156</c:v>
                </c:pt>
                <c:pt idx="11">
                  <c:v>32.38238262257007</c:v>
                </c:pt>
                <c:pt idx="12">
                  <c:v>33.12604595416677</c:v>
                </c:pt>
                <c:pt idx="13">
                  <c:v>33.837634886176502</c:v>
                </c:pt>
                <c:pt idx="14">
                  <c:v>34.044608537443828</c:v>
                </c:pt>
                <c:pt idx="15">
                  <c:v>34.515518353432377</c:v>
                </c:pt>
                <c:pt idx="16">
                  <c:v>35.158245955878684</c:v>
                </c:pt>
                <c:pt idx="17">
                  <c:v>35.764552882695824</c:v>
                </c:pt>
                <c:pt idx="18">
                  <c:v>36.333363181691105</c:v>
                </c:pt>
                <c:pt idx="19">
                  <c:v>36.863791409739768</c:v>
                </c:pt>
                <c:pt idx="20">
                  <c:v>37.355142717868979</c:v>
                </c:pt>
                <c:pt idx="21">
                  <c:v>37.80691144063384</c:v>
                </c:pt>
                <c:pt idx="22">
                  <c:v>38.218778273587226</c:v>
                </c:pt>
                <c:pt idx="23">
                  <c:v>38.59060613479592</c:v>
                </c:pt>
                <c:pt idx="24">
                  <c:v>38.922434816444181</c:v>
                </c:pt>
                <c:pt idx="25">
                  <c:v>39.214474540574976</c:v>
                </c:pt>
                <c:pt idx="26">
                  <c:v>39.467098538972195</c:v>
                </c:pt>
                <c:pt idx="27">
                  <c:v>39.680834781138692</c:v>
                </c:pt>
                <c:pt idx="28">
                  <c:v>39.856356976363287</c:v>
                </c:pt>
                <c:pt idx="29">
                  <c:v>39.994474976109778</c:v>
                </c:pt>
                <c:pt idx="30">
                  <c:v>40.096124701533391</c:v>
                </c:pt>
                <c:pt idx="31">
                  <c:v>40.162357717995441</c:v>
                </c:pt>
                <c:pt idx="32">
                  <c:v>40.19433057416272</c:v>
                </c:pt>
                <c:pt idx="33">
                  <c:v>40.193294017824918</c:v>
                </c:pt>
                <c:pt idx="34">
                  <c:v>40.160582194116692</c:v>
                </c:pt>
                <c:pt idx="35">
                  <c:v>40.097601924569069</c:v>
                </c:pt>
                <c:pt idx="36">
                  <c:v>40.005822157517152</c:v>
                </c:pt>
                <c:pt idx="37">
                  <c:v>39.886763672026326</c:v>
                </c:pt>
                <c:pt idx="38">
                  <c:v>39.741989108828228</c:v>
                </c:pt>
                <c:pt idx="39">
                  <c:v>39.573093392936165</c:v>
                </c:pt>
                <c:pt idx="40">
                  <c:v>39.381694603773319</c:v>
                </c:pt>
                <c:pt idx="41">
                  <c:v>39.169425339925887</c:v>
                </c:pt>
                <c:pt idx="42">
                  <c:v>38.937924617136169</c:v>
                </c:pt>
                <c:pt idx="43">
                  <c:v>38.688830329977989</c:v>
                </c:pt>
                <c:pt idx="44">
                  <c:v>38.423772299890913</c:v>
                </c:pt>
                <c:pt idx="45">
                  <c:v>38.144365924956304</c:v>
                </c:pt>
                <c:pt idx="46">
                  <c:v>37.852206440037591</c:v>
                </c:pt>
                <c:pt idx="47">
                  <c:v>37.548863789712094</c:v>
                </c:pt>
                <c:pt idx="48">
                  <c:v>37.235878110828217</c:v>
                </c:pt>
                <c:pt idx="49">
                  <c:v>36.914755816541323</c:v>
                </c:pt>
                <c:pt idx="50">
                  <c:v>36.586966269322858</c:v>
                </c:pt>
                <c:pt idx="51">
                  <c:v>36.253939026697211</c:v>
                </c:pt>
                <c:pt idx="52">
                  <c:v>35.917061640326025</c:v>
                </c:pt>
                <c:pt idx="53">
                  <c:v>35.577677986516342</c:v>
                </c:pt>
                <c:pt idx="54">
                  <c:v>35.237087104248715</c:v>
                </c:pt>
                <c:pt idx="55">
                  <c:v>34.896542515380261</c:v>
                </c:pt>
                <c:pt idx="56">
                  <c:v>34.5572520007401</c:v>
                </c:pt>
                <c:pt idx="57">
                  <c:v>34.220377805371008</c:v>
                </c:pt>
                <c:pt idx="58">
                  <c:v>33.887037246142036</c:v>
                </c:pt>
                <c:pt idx="59">
                  <c:v>33.55830369532805</c:v>
                </c:pt>
                <c:pt idx="60">
                  <c:v>33.235207914491355</c:v>
                </c:pt>
                <c:pt idx="61">
                  <c:v>32.918739714064785</c:v>
                </c:pt>
                <c:pt idx="62">
                  <c:v>32.609849915403103</c:v>
                </c:pt>
                <c:pt idx="63">
                  <c:v>32.30945259369836</c:v>
                </c:pt>
                <c:pt idx="64">
                  <c:v>32.018427582027783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96-4A5A-92CE-4C95DB168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3738072"/>
        <c:axId val="823738464"/>
      </c:scatterChart>
      <c:valAx>
        <c:axId val="823738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738464"/>
        <c:crosses val="autoZero"/>
        <c:crossBetween val="midCat"/>
      </c:valAx>
      <c:valAx>
        <c:axId val="823738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MPPGL (mg/g liver)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286774569845435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373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Simulated expression as fraction of extrapolated 25Y  </a:t>
            </a:r>
          </a:p>
        </c:rich>
      </c:tx>
      <c:layout>
        <c:manualLayout>
          <c:xMode val="edge"/>
          <c:yMode val="edge"/>
          <c:x val="8.707633420822398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0569444444444446"/>
          <c:w val="0.88389129483814521"/>
          <c:h val="0.686906167979002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CYP1A2!$C$9:$C$44</c:f>
              <c:numCache>
                <c:formatCode>General</c:formatCode>
                <c:ptCount val="3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10.3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</c:numCache>
            </c:numRef>
          </c:xVal>
          <c:yVal>
            <c:numRef>
              <c:f>CYP1A2!$E$9:$E$44</c:f>
              <c:numCache>
                <c:formatCode>0.00000</c:formatCode>
                <c:ptCount val="36"/>
                <c:pt idx="0">
                  <c:v>0.11113628287132657</c:v>
                </c:pt>
                <c:pt idx="1">
                  <c:v>0.13998913174562874</c:v>
                </c:pt>
                <c:pt idx="2">
                  <c:v>0.19512289657368581</c:v>
                </c:pt>
                <c:pt idx="3">
                  <c:v>0.32343106369335989</c:v>
                </c:pt>
                <c:pt idx="4">
                  <c:v>0.45854571400145117</c:v>
                </c:pt>
                <c:pt idx="5">
                  <c:v>0.58358038408615831</c:v>
                </c:pt>
                <c:pt idx="6">
                  <c:v>0.77339065170495924</c:v>
                </c:pt>
                <c:pt idx="7">
                  <c:v>0.884609178141331</c:v>
                </c:pt>
                <c:pt idx="8">
                  <c:v>0.91879507086879786</c:v>
                </c:pt>
                <c:pt idx="9">
                  <c:v>0.94317733364097023</c:v>
                </c:pt>
                <c:pt idx="10">
                  <c:v>0.97247322185499863</c:v>
                </c:pt>
                <c:pt idx="11">
                  <c:v>0.98677020432392704</c:v>
                </c:pt>
                <c:pt idx="12">
                  <c:v>0.99366564736027274</c:v>
                </c:pt>
                <c:pt idx="13">
                  <c:v>0.99697265014854175</c:v>
                </c:pt>
                <c:pt idx="14">
                  <c:v>0.99855440651200122</c:v>
                </c:pt>
                <c:pt idx="15">
                  <c:v>0.99884202137642297</c:v>
                </c:pt>
                <c:pt idx="16">
                  <c:v>0.9993099987789632</c:v>
                </c:pt>
                <c:pt idx="17">
                  <c:v>0.99967071823804177</c:v>
                </c:pt>
                <c:pt idx="18">
                  <c:v>0.99984287527769744</c:v>
                </c:pt>
                <c:pt idx="19">
                  <c:v>0.99992502752998824</c:v>
                </c:pt>
                <c:pt idx="20">
                  <c:v>0.99996422745926539</c:v>
                </c:pt>
                <c:pt idx="21">
                  <c:v>0.99998293158067764</c:v>
                </c:pt>
                <c:pt idx="22">
                  <c:v>0.99999185605753504</c:v>
                </c:pt>
                <c:pt idx="23">
                  <c:v>0.99999611424802293</c:v>
                </c:pt>
                <c:pt idx="24">
                  <c:v>0.99999814597761671</c:v>
                </c:pt>
                <c:pt idx="25">
                  <c:v>0.99999911538430852</c:v>
                </c:pt>
                <c:pt idx="26">
                  <c:v>0.99999957792056327</c:v>
                </c:pt>
                <c:pt idx="27">
                  <c:v>0.99999979861194965</c:v>
                </c:pt>
                <c:pt idx="28">
                  <c:v>0.99999990391111027</c:v>
                </c:pt>
                <c:pt idx="29">
                  <c:v>0.99999995415281862</c:v>
                </c:pt>
                <c:pt idx="30">
                  <c:v>0.99999997812479646</c:v>
                </c:pt>
                <c:pt idx="31">
                  <c:v>0.99999998956261849</c:v>
                </c:pt>
                <c:pt idx="32">
                  <c:v>0.99999999501998083</c:v>
                </c:pt>
                <c:pt idx="33">
                  <c:v>0.99999999762386849</c:v>
                </c:pt>
                <c:pt idx="34">
                  <c:v>0.99999999886626922</c:v>
                </c:pt>
                <c:pt idx="35">
                  <c:v>0.9999999994590596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A2-4A14-8A0E-548A1720E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720224"/>
        <c:axId val="476720616"/>
      </c:scatterChart>
      <c:valAx>
        <c:axId val="47672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720616"/>
        <c:crosses val="autoZero"/>
        <c:crossBetween val="midCat"/>
      </c:valAx>
      <c:valAx>
        <c:axId val="476720616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72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Simulated expression as fraction of extrapolated 25Y  </a:t>
            </a:r>
          </a:p>
        </c:rich>
      </c:tx>
      <c:layout>
        <c:manualLayout>
          <c:xMode val="edge"/>
          <c:yMode val="edge"/>
          <c:x val="8.707633420822398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0569444444444446"/>
          <c:w val="0.88389129483814521"/>
          <c:h val="0.686906167979002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CYP2B6!$C$9:$C$44</c:f>
              <c:numCache>
                <c:formatCode>General</c:formatCode>
                <c:ptCount val="3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10.3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</c:numCache>
            </c:numRef>
          </c:xVal>
          <c:yVal>
            <c:numRef>
              <c:f>CYP2B6!$E$9:$E$44</c:f>
              <c:numCache>
                <c:formatCode>0.00000</c:formatCode>
                <c:ptCount val="36"/>
                <c:pt idx="0">
                  <c:v>0.70729629629629631</c:v>
                </c:pt>
                <c:pt idx="1">
                  <c:v>0.74024793388429755</c:v>
                </c:pt>
                <c:pt idx="2">
                  <c:v>0.78182242990654216</c:v>
                </c:pt>
                <c:pt idx="3">
                  <c:v>0.83591397849462368</c:v>
                </c:pt>
                <c:pt idx="4">
                  <c:v>0.86956395348837212</c:v>
                </c:pt>
                <c:pt idx="5">
                  <c:v>0.89251833740831299</c:v>
                </c:pt>
                <c:pt idx="6">
                  <c:v>0.92181818181818187</c:v>
                </c:pt>
                <c:pt idx="7">
                  <c:v>0.93973094170403582</c:v>
                </c:pt>
                <c:pt idx="8">
                  <c:v>0.94630790190735692</c:v>
                </c:pt>
                <c:pt idx="9">
                  <c:v>0.95181476846057567</c:v>
                </c:pt>
                <c:pt idx="10">
                  <c:v>0.96051668460710438</c:v>
                </c:pt>
                <c:pt idx="11">
                  <c:v>0.96708215297450417</c:v>
                </c:pt>
                <c:pt idx="12">
                  <c:v>0.9722119428090833</c:v>
                </c:pt>
                <c:pt idx="13">
                  <c:v>0.97633055344958286</c:v>
                </c:pt>
                <c:pt idx="14">
                  <c:v>0.97971014492753628</c:v>
                </c:pt>
                <c:pt idx="15">
                  <c:v>0.98060887096774196</c:v>
                </c:pt>
                <c:pt idx="16">
                  <c:v>0.98253324889170357</c:v>
                </c:pt>
                <c:pt idx="17">
                  <c:v>0.98492685781158573</c:v>
                </c:pt>
                <c:pt idx="18">
                  <c:v>0.98698205546492657</c:v>
                </c:pt>
                <c:pt idx="19">
                  <c:v>0.98876587100050783</c:v>
                </c:pt>
                <c:pt idx="20">
                  <c:v>0.99032872796569793</c:v>
                </c:pt>
                <c:pt idx="21">
                  <c:v>0.99170928667563929</c:v>
                </c:pt>
                <c:pt idx="22">
                  <c:v>0.99293768545994066</c:v>
                </c:pt>
                <c:pt idx="23">
                  <c:v>0.99403776617115303</c:v>
                </c:pt>
                <c:pt idx="24">
                  <c:v>0.99502863688430709</c:v>
                </c:pt>
                <c:pt idx="25">
                  <c:v>0.99592579119679903</c:v>
                </c:pt>
                <c:pt idx="26">
                  <c:v>0.99674192427926367</c:v>
                </c:pt>
                <c:pt idx="27">
                  <c:v>0.99748753738783658</c:v>
                </c:pt>
                <c:pt idx="28">
                  <c:v>0.99817139216310946</c:v>
                </c:pt>
                <c:pt idx="29">
                  <c:v>0.99880085653104922</c:v>
                </c:pt>
                <c:pt idx="30">
                  <c:v>0.99938217122683148</c:v>
                </c:pt>
                <c:pt idx="31">
                  <c:v>0.99992065741003122</c:v>
                </c:pt>
                <c:pt idx="32">
                  <c:v>1.0004208800218641</c:v>
                </c:pt>
                <c:pt idx="33">
                  <c:v>1.0008867775138559</c:v>
                </c:pt>
                <c:pt idx="34">
                  <c:v>1.0013217657565707</c:v>
                </c:pt>
                <c:pt idx="35">
                  <c:v>1.0017288219313412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10-41D3-8019-1010B47BB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721400"/>
        <c:axId val="476721792"/>
      </c:scatterChart>
      <c:valAx>
        <c:axId val="476721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721792"/>
        <c:crosses val="autoZero"/>
        <c:crossBetween val="midCat"/>
      </c:valAx>
      <c:valAx>
        <c:axId val="476721792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6721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Simulated expression as fraction of extrapolated 25Y  </a:t>
            </a:r>
          </a:p>
        </c:rich>
      </c:tx>
      <c:layout>
        <c:manualLayout>
          <c:xMode val="edge"/>
          <c:yMode val="edge"/>
          <c:x val="8.707633420822398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0569444444444446"/>
          <c:w val="0.88389129483814521"/>
          <c:h val="0.686906167979002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CYP2C9!$C$9:$C$44</c:f>
              <c:numCache>
                <c:formatCode>General</c:formatCode>
                <c:ptCount val="3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10.3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</c:numCache>
            </c:numRef>
          </c:xVal>
          <c:yVal>
            <c:numRef>
              <c:f>CYP2C9!$E$9:$E$44</c:f>
              <c:numCache>
                <c:formatCode>0.00000</c:formatCode>
                <c:ptCount val="36"/>
                <c:pt idx="0">
                  <c:v>0.77204535272321373</c:v>
                </c:pt>
                <c:pt idx="1">
                  <c:v>0.88292928068671228</c:v>
                </c:pt>
                <c:pt idx="2">
                  <c:v>0.96386855055928622</c:v>
                </c:pt>
                <c:pt idx="3">
                  <c:v>0.99679041877303731</c:v>
                </c:pt>
                <c:pt idx="4">
                  <c:v>0.9997192113422102</c:v>
                </c:pt>
                <c:pt idx="5">
                  <c:v>0.99997546819537664</c:v>
                </c:pt>
                <c:pt idx="6">
                  <c:v>0.99999981279245365</c:v>
                </c:pt>
                <c:pt idx="7">
                  <c:v>0.99999999857139565</c:v>
                </c:pt>
                <c:pt idx="8">
                  <c:v>0.99999999987520238</c:v>
                </c:pt>
                <c:pt idx="9">
                  <c:v>0.99999999998909817</c:v>
                </c:pt>
                <c:pt idx="10">
                  <c:v>0.99999999999991684</c:v>
                </c:pt>
                <c:pt idx="11">
                  <c:v>0.99999999999999933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0A-448E-9162-000DC9239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070376"/>
        <c:axId val="781070768"/>
      </c:scatterChart>
      <c:valAx>
        <c:axId val="781070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0768"/>
        <c:crosses val="autoZero"/>
        <c:crossBetween val="midCat"/>
      </c:valAx>
      <c:valAx>
        <c:axId val="781070768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0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Simulated expression as fraction of extrapolated 25Y  </a:t>
            </a:r>
          </a:p>
        </c:rich>
      </c:tx>
      <c:layout>
        <c:manualLayout>
          <c:xMode val="edge"/>
          <c:yMode val="edge"/>
          <c:x val="8.707633420822398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0569444444444446"/>
          <c:w val="0.88389129483814521"/>
          <c:h val="0.686906167979002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CYP2C19!$C$9:$C$44</c:f>
              <c:numCache>
                <c:formatCode>General</c:formatCode>
                <c:ptCount val="3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10.3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</c:numCache>
            </c:numRef>
          </c:xVal>
          <c:yVal>
            <c:numRef>
              <c:f>CYP2C19!$E$9:$E$44</c:f>
              <c:numCache>
                <c:formatCode>0.00000</c:formatCode>
                <c:ptCount val="36"/>
                <c:pt idx="0">
                  <c:v>0.42446537270795442</c:v>
                </c:pt>
                <c:pt idx="1">
                  <c:v>0.51521514443428496</c:v>
                </c:pt>
                <c:pt idx="2">
                  <c:v>0.64880040179728071</c:v>
                </c:pt>
                <c:pt idx="3">
                  <c:v>0.83179007323673171</c:v>
                </c:pt>
                <c:pt idx="4">
                  <c:v>0.92452859071263938</c:v>
                </c:pt>
                <c:pt idx="5">
                  <c:v>0.96705478294102065</c:v>
                </c:pt>
                <c:pt idx="6">
                  <c:v>0.99379190000078788</c:v>
                </c:pt>
                <c:pt idx="7">
                  <c:v>0.9987098281795056</c:v>
                </c:pt>
                <c:pt idx="8">
                  <c:v>0.99933604666727482</c:v>
                </c:pt>
                <c:pt idx="9">
                  <c:v>0.99960258713348515</c:v>
                </c:pt>
                <c:pt idx="10">
                  <c:v>0.99976426472959434</c:v>
                </c:pt>
                <c:pt idx="11">
                  <c:v>0.99979353170335405</c:v>
                </c:pt>
                <c:pt idx="12">
                  <c:v>0.99979882921384144</c:v>
                </c:pt>
                <c:pt idx="13">
                  <c:v>0.99979978808373682</c:v>
                </c:pt>
                <c:pt idx="14">
                  <c:v>0.99979996164245311</c:v>
                </c:pt>
                <c:pt idx="15">
                  <c:v>0.99979997703022305</c:v>
                </c:pt>
                <c:pt idx="16">
                  <c:v>0.99979999305715728</c:v>
                </c:pt>
                <c:pt idx="17">
                  <c:v>0.99979999874332248</c:v>
                </c:pt>
                <c:pt idx="18">
                  <c:v>0.99979999977253731</c:v>
                </c:pt>
                <c:pt idx="19">
                  <c:v>0.99979999995882851</c:v>
                </c:pt>
                <c:pt idx="20">
                  <c:v>0.99979999999254776</c:v>
                </c:pt>
                <c:pt idx="21">
                  <c:v>0.9997999999986511</c:v>
                </c:pt>
                <c:pt idx="22">
                  <c:v>0.99979999999975577</c:v>
                </c:pt>
                <c:pt idx="23">
                  <c:v>0.99979999999995584</c:v>
                </c:pt>
                <c:pt idx="24">
                  <c:v>0.99979999999999203</c:v>
                </c:pt>
                <c:pt idx="25">
                  <c:v>0.99979999999999858</c:v>
                </c:pt>
                <c:pt idx="26">
                  <c:v>0.9997999999999998</c:v>
                </c:pt>
                <c:pt idx="27">
                  <c:v>0.99980000000000002</c:v>
                </c:pt>
                <c:pt idx="28">
                  <c:v>0.99980000000000002</c:v>
                </c:pt>
                <c:pt idx="29">
                  <c:v>0.99980000000000002</c:v>
                </c:pt>
                <c:pt idx="30">
                  <c:v>0.99980000000000002</c:v>
                </c:pt>
                <c:pt idx="31">
                  <c:v>0.99980000000000002</c:v>
                </c:pt>
                <c:pt idx="32">
                  <c:v>0.99980000000000002</c:v>
                </c:pt>
                <c:pt idx="33">
                  <c:v>0.99980000000000002</c:v>
                </c:pt>
                <c:pt idx="34">
                  <c:v>0.99980000000000002</c:v>
                </c:pt>
                <c:pt idx="35">
                  <c:v>0.99980000000000002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9D-44EC-A341-688CC96EA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071944"/>
        <c:axId val="781072336"/>
      </c:scatterChart>
      <c:valAx>
        <c:axId val="781071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2336"/>
        <c:crosses val="autoZero"/>
        <c:crossBetween val="midCat"/>
      </c:valAx>
      <c:valAx>
        <c:axId val="781072336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1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Simulated expression as fraction of extrapolated 25Y  </a:t>
            </a:r>
          </a:p>
        </c:rich>
      </c:tx>
      <c:layout>
        <c:manualLayout>
          <c:xMode val="edge"/>
          <c:yMode val="edge"/>
          <c:x val="8.707633420822398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0569444444444446"/>
          <c:w val="0.88389129483814521"/>
          <c:h val="0.686906167979002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CYP2E1!$C$9:$C$44</c:f>
              <c:numCache>
                <c:formatCode>General</c:formatCode>
                <c:ptCount val="3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10.3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</c:numCache>
            </c:numRef>
          </c:xVal>
          <c:yVal>
            <c:numRef>
              <c:f>CYP2E1!$E$9:$E$44</c:f>
              <c:numCache>
                <c:formatCode>0.00000</c:formatCode>
                <c:ptCount val="36"/>
                <c:pt idx="0">
                  <c:v>0.52681893660061729</c:v>
                </c:pt>
                <c:pt idx="1">
                  <c:v>0.78065732180875991</c:v>
                </c:pt>
                <c:pt idx="2">
                  <c:v>0.94638647663435327</c:v>
                </c:pt>
                <c:pt idx="3">
                  <c:v>0.99501054515575849</c:v>
                </c:pt>
                <c:pt idx="4">
                  <c:v>0.99918570060980205</c:v>
                </c:pt>
                <c:pt idx="5">
                  <c:v>0.99980956461533999</c:v>
                </c:pt>
                <c:pt idx="6">
                  <c:v>0.99997993687779774</c:v>
                </c:pt>
                <c:pt idx="7">
                  <c:v>0.99999639937643969</c:v>
                </c:pt>
                <c:pt idx="8">
                  <c:v>0.99999826101158462</c:v>
                </c:pt>
                <c:pt idx="9">
                  <c:v>0.99999910279640813</c:v>
                </c:pt>
                <c:pt idx="10">
                  <c:v>0.99999972067166798</c:v>
                </c:pt>
                <c:pt idx="11">
                  <c:v>0.9999998978372574</c:v>
                </c:pt>
                <c:pt idx="12">
                  <c:v>0.999999957788267</c:v>
                </c:pt>
                <c:pt idx="13">
                  <c:v>0.99999998081015595</c:v>
                </c:pt>
                <c:pt idx="14">
                  <c:v>0.99999999057884925</c:v>
                </c:pt>
                <c:pt idx="15">
                  <c:v>0.99999999229105729</c:v>
                </c:pt>
                <c:pt idx="16">
                  <c:v>0.99999999507290238</c:v>
                </c:pt>
                <c:pt idx="17">
                  <c:v>0.99999999728325062</c:v>
                </c:pt>
                <c:pt idx="18">
                  <c:v>0.99999999843320753</c:v>
                </c:pt>
                <c:pt idx="19">
                  <c:v>0.99999999906083992</c:v>
                </c:pt>
                <c:pt idx="20">
                  <c:v>0.99999999941784934</c:v>
                </c:pt>
                <c:pt idx="21">
                  <c:v>0.99999999962837394</c:v>
                </c:pt>
                <c:pt idx="22">
                  <c:v>0.99999999975651566</c:v>
                </c:pt>
                <c:pt idx="23">
                  <c:v>0.99999999983673504</c:v>
                </c:pt>
                <c:pt idx="24">
                  <c:v>0.99999999988822952</c:v>
                </c:pt>
                <c:pt idx="25">
                  <c:v>0.99999999992203792</c:v>
                </c:pt>
                <c:pt idx="26">
                  <c:v>0.99999999994469091</c:v>
                </c:pt>
                <c:pt idx="27">
                  <c:v>0.99999999996015188</c:v>
                </c:pt>
                <c:pt idx="28">
                  <c:v>0.9999999999708834</c:v>
                </c:pt>
                <c:pt idx="29">
                  <c:v>0.99999999997844791</c:v>
                </c:pt>
                <c:pt idx="30">
                  <c:v>0.99999999998385602</c:v>
                </c:pt>
                <c:pt idx="31">
                  <c:v>0.99999999998777322</c:v>
                </c:pt>
                <c:pt idx="32">
                  <c:v>0.99999999999064515</c:v>
                </c:pt>
                <c:pt idx="33">
                  <c:v>0.99999999999277434</c:v>
                </c:pt>
                <c:pt idx="34">
                  <c:v>0.99999999999436939</c:v>
                </c:pt>
                <c:pt idx="35">
                  <c:v>0.99999999999557609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9F-48A2-9659-C97B01F0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071944"/>
        <c:axId val="781072336"/>
      </c:scatterChart>
      <c:valAx>
        <c:axId val="781071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2336"/>
        <c:crosses val="autoZero"/>
        <c:crossBetween val="midCat"/>
      </c:valAx>
      <c:valAx>
        <c:axId val="781072336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1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Simulated expression as fraction of extrapolated 25Y  </a:t>
            </a:r>
          </a:p>
        </c:rich>
      </c:tx>
      <c:layout>
        <c:manualLayout>
          <c:xMode val="edge"/>
          <c:yMode val="edge"/>
          <c:x val="8.7076334208223985E-2"/>
          <c:y val="5.09259259259259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886482939632541E-2"/>
          <c:y val="0.20569444444444446"/>
          <c:w val="0.88389129483814521"/>
          <c:h val="0.686906167979002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UGT1A9!$C$9:$C$44</c:f>
              <c:numCache>
                <c:formatCode>General</c:formatCode>
                <c:ptCount val="36"/>
                <c:pt idx="0">
                  <c:v>0.1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10.3</c:v>
                </c:pt>
                <c:pt idx="16">
                  <c:v>11</c:v>
                </c:pt>
                <c:pt idx="17">
                  <c:v>12</c:v>
                </c:pt>
                <c:pt idx="18">
                  <c:v>13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23</c:v>
                </c:pt>
                <c:pt idx="29">
                  <c:v>24</c:v>
                </c:pt>
                <c:pt idx="30">
                  <c:v>25</c:v>
                </c:pt>
                <c:pt idx="31">
                  <c:v>26</c:v>
                </c:pt>
                <c:pt idx="32">
                  <c:v>27</c:v>
                </c:pt>
                <c:pt idx="33">
                  <c:v>28</c:v>
                </c:pt>
                <c:pt idx="34">
                  <c:v>29</c:v>
                </c:pt>
                <c:pt idx="35">
                  <c:v>30</c:v>
                </c:pt>
              </c:numCache>
            </c:numRef>
          </c:xVal>
          <c:yVal>
            <c:numRef>
              <c:f>UGT1A9!$E$9:$E$44</c:f>
              <c:numCache>
                <c:formatCode>0.00000</c:formatCode>
                <c:ptCount val="36"/>
                <c:pt idx="0">
                  <c:v>0.10526315789473685</c:v>
                </c:pt>
                <c:pt idx="1">
                  <c:v>0.22727272727272727</c:v>
                </c:pt>
                <c:pt idx="2">
                  <c:v>0.37037037037037035</c:v>
                </c:pt>
                <c:pt idx="3">
                  <c:v>0.54054054054054046</c:v>
                </c:pt>
                <c:pt idx="4">
                  <c:v>0.63829787234042545</c:v>
                </c:pt>
                <c:pt idx="5">
                  <c:v>0.70175438596491224</c:v>
                </c:pt>
                <c:pt idx="6">
                  <c:v>0.77922077922077926</c:v>
                </c:pt>
                <c:pt idx="7">
                  <c:v>0.82474226804123718</c:v>
                </c:pt>
                <c:pt idx="8">
                  <c:v>0.8411214953271029</c:v>
                </c:pt>
                <c:pt idx="9">
                  <c:v>0.85470085470085477</c:v>
                </c:pt>
                <c:pt idx="10">
                  <c:v>0.87591240875912413</c:v>
                </c:pt>
                <c:pt idx="11">
                  <c:v>0.89171974522292996</c:v>
                </c:pt>
                <c:pt idx="12">
                  <c:v>0.903954802259887</c:v>
                </c:pt>
                <c:pt idx="13">
                  <c:v>0.91370558375634525</c:v>
                </c:pt>
                <c:pt idx="14">
                  <c:v>0.92165898617511521</c:v>
                </c:pt>
                <c:pt idx="15">
                  <c:v>0.92376681614349776</c:v>
                </c:pt>
                <c:pt idx="16">
                  <c:v>0.92827004219409281</c:v>
                </c:pt>
                <c:pt idx="17">
                  <c:v>0.93385214007782102</c:v>
                </c:pt>
                <c:pt idx="18">
                  <c:v>0.93862815884476536</c:v>
                </c:pt>
                <c:pt idx="19">
                  <c:v>0.9427609427609428</c:v>
                </c:pt>
                <c:pt idx="20">
                  <c:v>0.94637223974763407</c:v>
                </c:pt>
                <c:pt idx="21">
                  <c:v>0.94955489614243316</c:v>
                </c:pt>
                <c:pt idx="22">
                  <c:v>0.95238095238095233</c:v>
                </c:pt>
                <c:pt idx="23">
                  <c:v>0.95490716180371349</c:v>
                </c:pt>
                <c:pt idx="24">
                  <c:v>0.95717884130982356</c:v>
                </c:pt>
                <c:pt idx="25">
                  <c:v>0.95923261390887282</c:v>
                </c:pt>
                <c:pt idx="26">
                  <c:v>0.96109839816933629</c:v>
                </c:pt>
                <c:pt idx="27">
                  <c:v>0.96280087527352287</c:v>
                </c:pt>
                <c:pt idx="28">
                  <c:v>0.96436058700209637</c:v>
                </c:pt>
                <c:pt idx="29">
                  <c:v>0.96579476861167002</c:v>
                </c:pt>
                <c:pt idx="30">
                  <c:v>0.96711798839458407</c:v>
                </c:pt>
                <c:pt idx="31">
                  <c:v>0.96834264432029793</c:v>
                </c:pt>
                <c:pt idx="32">
                  <c:v>0.96947935368043081</c:v>
                </c:pt>
                <c:pt idx="33">
                  <c:v>0.97053726169844012</c:v>
                </c:pt>
                <c:pt idx="34">
                  <c:v>0.97152428810720259</c:v>
                </c:pt>
                <c:pt idx="35">
                  <c:v>0.97244732576985404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21-45C8-BF62-89D8B9A8A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073512"/>
        <c:axId val="781073904"/>
      </c:scatterChart>
      <c:valAx>
        <c:axId val="781073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3904"/>
        <c:crosses val="autoZero"/>
        <c:crossBetween val="midCat"/>
      </c:valAx>
      <c:valAx>
        <c:axId val="781073904"/>
        <c:scaling>
          <c:orientation val="minMax"/>
        </c:scaling>
        <c:delete val="0"/>
        <c:axPos val="l"/>
        <c:numFmt formatCode="0.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8107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Carbaryl Clint  </a:t>
            </a:r>
          </a:p>
        </c:rich>
      </c:tx>
      <c:layout>
        <c:manualLayout>
          <c:xMode val="edge"/>
          <c:yMode val="edge"/>
          <c:x val="0.4217189772241971"/>
          <c:y val="3.6140664833750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717116111196694"/>
          <c:y val="0.1548031919240046"/>
          <c:w val="0.7904766965957355"/>
          <c:h val="0.6548367863671702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'CL ontogeny-Female'!$W$22:$W$41</c:f>
              <c:numCache>
                <c:formatCode>General</c:formatCode>
                <c:ptCount val="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10.3</c:v>
                </c:pt>
                <c:pt idx="10">
                  <c:v>12</c:v>
                </c:pt>
                <c:pt idx="11">
                  <c:v>13</c:v>
                </c:pt>
                <c:pt idx="12">
                  <c:v>15</c:v>
                </c:pt>
                <c:pt idx="13">
                  <c:v>19</c:v>
                </c:pt>
                <c:pt idx="14">
                  <c:v>20</c:v>
                </c:pt>
                <c:pt idx="15">
                  <c:v>25</c:v>
                </c:pt>
                <c:pt idx="16">
                  <c:v>49</c:v>
                </c:pt>
                <c:pt idx="17">
                  <c:v>50</c:v>
                </c:pt>
                <c:pt idx="18">
                  <c:v>58</c:v>
                </c:pt>
                <c:pt idx="19">
                  <c:v>60</c:v>
                </c:pt>
              </c:numCache>
            </c:numRef>
          </c:xVal>
          <c:yVal>
            <c:numRef>
              <c:f>'CL ontogeny-Female'!$X$22:$X$41</c:f>
              <c:numCache>
                <c:formatCode>0.00</c:formatCode>
                <c:ptCount val="20"/>
                <c:pt idx="0">
                  <c:v>3.77</c:v>
                </c:pt>
                <c:pt idx="1">
                  <c:v>5.69</c:v>
                </c:pt>
                <c:pt idx="2">
                  <c:v>7.61</c:v>
                </c:pt>
                <c:pt idx="3">
                  <c:v>9.4</c:v>
                </c:pt>
                <c:pt idx="4">
                  <c:v>12.3</c:v>
                </c:pt>
                <c:pt idx="5">
                  <c:v>14.24</c:v>
                </c:pt>
                <c:pt idx="6">
                  <c:v>14.94</c:v>
                </c:pt>
                <c:pt idx="7">
                  <c:v>15.5</c:v>
                </c:pt>
                <c:pt idx="8">
                  <c:v>16.399999999999999</c:v>
                </c:pt>
                <c:pt idx="9">
                  <c:v>18.62</c:v>
                </c:pt>
                <c:pt idx="10">
                  <c:v>19.260000000000002</c:v>
                </c:pt>
                <c:pt idx="11">
                  <c:v>19.600000000000001</c:v>
                </c:pt>
                <c:pt idx="12">
                  <c:v>20.2</c:v>
                </c:pt>
                <c:pt idx="13">
                  <c:v>20.399999999999999</c:v>
                </c:pt>
                <c:pt idx="14">
                  <c:v>21.2</c:v>
                </c:pt>
                <c:pt idx="15">
                  <c:v>21.39</c:v>
                </c:pt>
                <c:pt idx="16">
                  <c:v>22</c:v>
                </c:pt>
                <c:pt idx="17">
                  <c:v>19.59</c:v>
                </c:pt>
                <c:pt idx="18">
                  <c:v>19.38</c:v>
                </c:pt>
                <c:pt idx="19">
                  <c:v>17.899999999999999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29-4800-9178-CCA798CC3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491808"/>
        <c:axId val="470492200"/>
      </c:scatterChart>
      <c:valAx>
        <c:axId val="470491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0492200"/>
        <c:crosses val="autoZero"/>
        <c:crossBetween val="midCat"/>
      </c:valAx>
      <c:valAx>
        <c:axId val="470492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CLint, invivo  (L/hr/kg liver weight)</a:t>
                </a:r>
              </a:p>
            </c:rich>
          </c:tx>
          <c:layout>
            <c:manualLayout>
              <c:xMode val="edge"/>
              <c:yMode val="edge"/>
              <c:x val="3.3259343837502529E-2"/>
              <c:y val="0.148842827948076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;[Red]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049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100">
                <a:effectLst/>
              </a:rPr>
              <a:t>‘% contribution of enzymes to carbaryl CLint in the liver</a:t>
            </a:r>
          </a:p>
        </c:rich>
      </c:tx>
      <c:layout>
        <c:manualLayout>
          <c:xMode val="edge"/>
          <c:yMode val="edge"/>
          <c:x val="0.1432356538559231"/>
          <c:y val="4.25208807896734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36910181512671"/>
          <c:y val="0.21806180833318389"/>
          <c:w val="0.49261796369746585"/>
          <c:h val="0.7537017440018175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719-44E8-81F1-DFD4F7F741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719-44E8-81F1-DFD4F7F741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719-44E8-81F1-DFD4F7F741E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719-44E8-81F1-DFD4F7F741E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719-44E8-81F1-DFD4F7F741E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719-44E8-81F1-DFD4F7F741E9}"/>
              </c:ext>
            </c:extLst>
          </c:dPt>
          <c:dLbls>
            <c:dLbl>
              <c:idx val="0"/>
              <c:layout>
                <c:manualLayout>
                  <c:x val="-0.53200992555831261"/>
                  <c:y val="-0.182232346241457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19-44E8-81F1-DFD4F7F741E9}"/>
                </c:ext>
              </c:extLst>
            </c:dLbl>
            <c:dLbl>
              <c:idx val="1"/>
              <c:layout>
                <c:manualLayout>
                  <c:x val="-9.1315136476426806E-2"/>
                  <c:y val="0.291571753986332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2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19-44E8-81F1-DFD4F7F741E9}"/>
                </c:ext>
              </c:extLst>
            </c:dLbl>
            <c:dLbl>
              <c:idx val="2"/>
              <c:layout>
                <c:manualLayout>
                  <c:x val="-0.11116625310173699"/>
                  <c:y val="0.23386484434320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3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19-44E8-81F1-DFD4F7F741E9}"/>
                </c:ext>
              </c:extLst>
            </c:dLbl>
            <c:dLbl>
              <c:idx val="3"/>
              <c:layout>
                <c:manualLayout>
                  <c:x val="-0.13498759305210919"/>
                  <c:y val="0.1579347000759301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4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19-44E8-81F1-DFD4F7F741E9}"/>
                </c:ext>
              </c:extLst>
            </c:dLbl>
            <c:dLbl>
              <c:idx val="4"/>
              <c:layout>
                <c:manualLayout>
                  <c:x val="-0.16277915632754342"/>
                  <c:y val="5.16324981017463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5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19-44E8-81F1-DFD4F7F741E9}"/>
                </c:ext>
              </c:extLst>
            </c:dLbl>
            <c:dLbl>
              <c:idx val="5"/>
              <c:layout>
                <c:manualLayout>
                  <c:x val="-0.24218362282878411"/>
                  <c:y val="-6.074411541381928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spc="0" baseline="0">
                      <a:solidFill>
                        <a:schemeClr val="accent6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19-44E8-81F1-DFD4F7F741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spc="0" baseline="0">
                    <a:solidFill>
                      <a:schemeClr val="accent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('CL ontogeny-Female'!$C$22:$C$26,'CL ontogeny-Female'!$C$29)</c:f>
              <c:strCache>
                <c:ptCount val="6"/>
                <c:pt idx="0">
                  <c:v>CYP1A2</c:v>
                </c:pt>
                <c:pt idx="1">
                  <c:v>CYP2B6</c:v>
                </c:pt>
                <c:pt idx="2">
                  <c:v>CYP2C9</c:v>
                </c:pt>
                <c:pt idx="3">
                  <c:v>CYP2C19</c:v>
                </c:pt>
                <c:pt idx="4">
                  <c:v>CYP2E1</c:v>
                </c:pt>
                <c:pt idx="5">
                  <c:v>UGT1A9</c:v>
                </c:pt>
              </c:strCache>
            </c:strRef>
          </c:cat>
          <c:val>
            <c:numRef>
              <c:f>('CL ontogeny-Female'!$Q$22:$Q$26,'CL ontogeny-Female'!$Q$29)</c:f>
              <c:numCache>
                <c:formatCode>0.0</c:formatCode>
                <c:ptCount val="6"/>
                <c:pt idx="0">
                  <c:v>83.467551201342147</c:v>
                </c:pt>
                <c:pt idx="1">
                  <c:v>0.38339423979366255</c:v>
                </c:pt>
                <c:pt idx="2">
                  <c:v>4.7067380242535535</c:v>
                </c:pt>
                <c:pt idx="3">
                  <c:v>0.64784551046052041</c:v>
                </c:pt>
                <c:pt idx="4">
                  <c:v>1.2668275693004927</c:v>
                </c:pt>
                <c:pt idx="5">
                  <c:v>9.5276434548496134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719-44E8-81F1-DFD4F7F741E9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15048118985124"/>
          <c:y val="0.17261201533798085"/>
          <c:w val="0.78962729658792663"/>
          <c:h val="0.6207407934004467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'BMI '!$B$4:$B$67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'BMI '!$E$4:$E$67</c:f>
              <c:numCache>
                <c:formatCode>0.00</c:formatCode>
                <c:ptCount val="64"/>
                <c:pt idx="0">
                  <c:v>16.964168667695088</c:v>
                </c:pt>
                <c:pt idx="1">
                  <c:v>17.506167771808332</c:v>
                </c:pt>
                <c:pt idx="2">
                  <c:v>17.559539737424899</c:v>
                </c:pt>
                <c:pt idx="3">
                  <c:v>17.506342188200389</c:v>
                </c:pt>
                <c:pt idx="4">
                  <c:v>17.342773126523671</c:v>
                </c:pt>
                <c:pt idx="5">
                  <c:v>16.711565217476199</c:v>
                </c:pt>
                <c:pt idx="6">
                  <c:v>16.41386502727654</c:v>
                </c:pt>
                <c:pt idx="7">
                  <c:v>16.199183356103784</c:v>
                </c:pt>
                <c:pt idx="8">
                  <c:v>16.030757685851551</c:v>
                </c:pt>
                <c:pt idx="9">
                  <c:v>16.234110483500071</c:v>
                </c:pt>
                <c:pt idx="10">
                  <c:v>16.777293346295849</c:v>
                </c:pt>
                <c:pt idx="11">
                  <c:v>17.512803313544076</c:v>
                </c:pt>
                <c:pt idx="12">
                  <c:v>18.133540510576253</c:v>
                </c:pt>
                <c:pt idx="13">
                  <c:v>18.252980556162417</c:v>
                </c:pt>
                <c:pt idx="14">
                  <c:v>18.441331393062796</c:v>
                </c:pt>
                <c:pt idx="15">
                  <c:v>18.845495601365531</c:v>
                </c:pt>
                <c:pt idx="16">
                  <c:v>19.746996587002954</c:v>
                </c:pt>
                <c:pt idx="17">
                  <c:v>20.907139044314466</c:v>
                </c:pt>
                <c:pt idx="18">
                  <c:v>21.99133416782001</c:v>
                </c:pt>
                <c:pt idx="19">
                  <c:v>22.860913548507369</c:v>
                </c:pt>
                <c:pt idx="20">
                  <c:v>23.507785416540269</c:v>
                </c:pt>
                <c:pt idx="21">
                  <c:v>23.971428229509264</c:v>
                </c:pt>
                <c:pt idx="22">
                  <c:v>24.298672144290222</c:v>
                </c:pt>
                <c:pt idx="23">
                  <c:v>24.529457046427595</c:v>
                </c:pt>
                <c:pt idx="24">
                  <c:v>24.693875607274784</c:v>
                </c:pt>
                <c:pt idx="25">
                  <c:v>24.845681649869658</c:v>
                </c:pt>
                <c:pt idx="26">
                  <c:v>24.669537769650528</c:v>
                </c:pt>
                <c:pt idx="27">
                  <c:v>24.917795912237779</c:v>
                </c:pt>
                <c:pt idx="28">
                  <c:v>25.156301746671314</c:v>
                </c:pt>
                <c:pt idx="29">
                  <c:v>25.385078129811678</c:v>
                </c:pt>
                <c:pt idx="30">
                  <c:v>25.604148511560872</c:v>
                </c:pt>
                <c:pt idx="31">
                  <c:v>25.813536510174288</c:v>
                </c:pt>
                <c:pt idx="32">
                  <c:v>26.013265791675167</c:v>
                </c:pt>
                <c:pt idx="33">
                  <c:v>26.20336003563353</c:v>
                </c:pt>
                <c:pt idx="34">
                  <c:v>26.383842925459351</c:v>
                </c:pt>
                <c:pt idx="35">
                  <c:v>26.554738145650532</c:v>
                </c:pt>
                <c:pt idx="36">
                  <c:v>26.716069381013106</c:v>
                </c:pt>
                <c:pt idx="37">
                  <c:v>26.867860316440332</c:v>
                </c:pt>
                <c:pt idx="38">
                  <c:v>27.010134636850122</c:v>
                </c:pt>
                <c:pt idx="39">
                  <c:v>27.142916027167399</c:v>
                </c:pt>
                <c:pt idx="40">
                  <c:v>27.266228172318989</c:v>
                </c:pt>
                <c:pt idx="41">
                  <c:v>27.380094757232396</c:v>
                </c:pt>
                <c:pt idx="42">
                  <c:v>27.484539466835162</c:v>
                </c:pt>
                <c:pt idx="43">
                  <c:v>27.579585986054955</c:v>
                </c:pt>
                <c:pt idx="44">
                  <c:v>27.66525799981941</c:v>
                </c:pt>
                <c:pt idx="45">
                  <c:v>27.741579193056175</c:v>
                </c:pt>
                <c:pt idx="46">
                  <c:v>27.808573250692923</c:v>
                </c:pt>
                <c:pt idx="47">
                  <c:v>27.866263857657287</c:v>
                </c:pt>
                <c:pt idx="48">
                  <c:v>27.914674698876933</c:v>
                </c:pt>
                <c:pt idx="49">
                  <c:v>27.953829459279515</c:v>
                </c:pt>
                <c:pt idx="50">
                  <c:v>27.983751823792687</c:v>
                </c:pt>
                <c:pt idx="51">
                  <c:v>28.004465477344105</c:v>
                </c:pt>
                <c:pt idx="52">
                  <c:v>28.01599410486142</c:v>
                </c:pt>
                <c:pt idx="53">
                  <c:v>28.018361391272293</c:v>
                </c:pt>
                <c:pt idx="54">
                  <c:v>28.011591021504369</c:v>
                </c:pt>
                <c:pt idx="55">
                  <c:v>27.995706680485309</c:v>
                </c:pt>
                <c:pt idx="56">
                  <c:v>27.970732053142772</c:v>
                </c:pt>
                <c:pt idx="57">
                  <c:v>27.936690824404405</c:v>
                </c:pt>
                <c:pt idx="58">
                  <c:v>27.893606679197863</c:v>
                </c:pt>
                <c:pt idx="59">
                  <c:v>27.841503302450796</c:v>
                </c:pt>
                <c:pt idx="60">
                  <c:v>27.780404379090868</c:v>
                </c:pt>
                <c:pt idx="61">
                  <c:v>27.710333594045732</c:v>
                </c:pt>
                <c:pt idx="62">
                  <c:v>27.63131463224304</c:v>
                </c:pt>
                <c:pt idx="63">
                  <c:v>27.543371178610446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4A-4D16-A3E9-D90FBE2894C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'BMI '!$F$7:$F$67</c:f>
              <c:numCache>
                <c:formatCode>General</c:formatCode>
                <c:ptCount val="61"/>
                <c:pt idx="0">
                  <c:v>16.515000000000001</c:v>
                </c:pt>
                <c:pt idx="1">
                  <c:v>15.93</c:v>
                </c:pt>
                <c:pt idx="2">
                  <c:v>15.89</c:v>
                </c:pt>
                <c:pt idx="4">
                  <c:v>15.86</c:v>
                </c:pt>
                <c:pt idx="5">
                  <c:v>16.094999999999999</c:v>
                </c:pt>
                <c:pt idx="6">
                  <c:v>16.68</c:v>
                </c:pt>
                <c:pt idx="7">
                  <c:v>17.094999999999999</c:v>
                </c:pt>
                <c:pt idx="8">
                  <c:v>18.79</c:v>
                </c:pt>
                <c:pt idx="9">
                  <c:v>19.945</c:v>
                </c:pt>
                <c:pt idx="11">
                  <c:v>21.54</c:v>
                </c:pt>
                <c:pt idx="12">
                  <c:v>19.905000000000001</c:v>
                </c:pt>
                <c:pt idx="13">
                  <c:v>21.91</c:v>
                </c:pt>
                <c:pt idx="14">
                  <c:v>21.745000000000001</c:v>
                </c:pt>
                <c:pt idx="15">
                  <c:v>22.79</c:v>
                </c:pt>
                <c:pt idx="16">
                  <c:v>22.25</c:v>
                </c:pt>
                <c:pt idx="17">
                  <c:v>23.88</c:v>
                </c:pt>
                <c:pt idx="18">
                  <c:v>24.21</c:v>
                </c:pt>
                <c:pt idx="19">
                  <c:v>24.465</c:v>
                </c:pt>
                <c:pt idx="20">
                  <c:v>26.22</c:v>
                </c:pt>
                <c:pt idx="21">
                  <c:v>24.34</c:v>
                </c:pt>
                <c:pt idx="22">
                  <c:v>24.65</c:v>
                </c:pt>
                <c:pt idx="23">
                  <c:v>25.64</c:v>
                </c:pt>
                <c:pt idx="24">
                  <c:v>25.734999999999999</c:v>
                </c:pt>
                <c:pt idx="25">
                  <c:v>23.81</c:v>
                </c:pt>
                <c:pt idx="26">
                  <c:v>24.48</c:v>
                </c:pt>
                <c:pt idx="27">
                  <c:v>26.614999999999998</c:v>
                </c:pt>
                <c:pt idx="28">
                  <c:v>29.545000000000002</c:v>
                </c:pt>
                <c:pt idx="29">
                  <c:v>26.925000000000001</c:v>
                </c:pt>
                <c:pt idx="30">
                  <c:v>27.445</c:v>
                </c:pt>
                <c:pt idx="31">
                  <c:v>29.73</c:v>
                </c:pt>
                <c:pt idx="32">
                  <c:v>27.39</c:v>
                </c:pt>
                <c:pt idx="33">
                  <c:v>28.3</c:v>
                </c:pt>
                <c:pt idx="34">
                  <c:v>25.02</c:v>
                </c:pt>
                <c:pt idx="35">
                  <c:v>27.95</c:v>
                </c:pt>
                <c:pt idx="36">
                  <c:v>28.045000000000002</c:v>
                </c:pt>
                <c:pt idx="37">
                  <c:v>24.79</c:v>
                </c:pt>
                <c:pt idx="38">
                  <c:v>28.39</c:v>
                </c:pt>
                <c:pt idx="39">
                  <c:v>28.315000000000001</c:v>
                </c:pt>
                <c:pt idx="40">
                  <c:v>29.56</c:v>
                </c:pt>
                <c:pt idx="41">
                  <c:v>28.96</c:v>
                </c:pt>
                <c:pt idx="42">
                  <c:v>28.03</c:v>
                </c:pt>
                <c:pt idx="43">
                  <c:v>28.905000000000001</c:v>
                </c:pt>
                <c:pt idx="44">
                  <c:v>28.734999999999999</c:v>
                </c:pt>
                <c:pt idx="45">
                  <c:v>30.234999999999999</c:v>
                </c:pt>
                <c:pt idx="46">
                  <c:v>29.565000000000001</c:v>
                </c:pt>
                <c:pt idx="47">
                  <c:v>27.97</c:v>
                </c:pt>
                <c:pt idx="48">
                  <c:v>29.96</c:v>
                </c:pt>
                <c:pt idx="49">
                  <c:v>29.45</c:v>
                </c:pt>
                <c:pt idx="50">
                  <c:v>31.145</c:v>
                </c:pt>
                <c:pt idx="51">
                  <c:v>27.975000000000001</c:v>
                </c:pt>
                <c:pt idx="52">
                  <c:v>29.155000000000001</c:v>
                </c:pt>
                <c:pt idx="53">
                  <c:v>27.405000000000001</c:v>
                </c:pt>
                <c:pt idx="54">
                  <c:v>28.4</c:v>
                </c:pt>
                <c:pt idx="55">
                  <c:v>28.75</c:v>
                </c:pt>
                <c:pt idx="56">
                  <c:v>29</c:v>
                </c:pt>
                <c:pt idx="57">
                  <c:v>25.15</c:v>
                </c:pt>
                <c:pt idx="58">
                  <c:v>29.67</c:v>
                </c:pt>
                <c:pt idx="59">
                  <c:v>32.36</c:v>
                </c:pt>
                <c:pt idx="60">
                  <c:v>29.36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DF-4365-A782-19E155DE8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2920"/>
        <c:axId val="500903312"/>
      </c:scatterChart>
      <c:valAx>
        <c:axId val="500902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(Year)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3312"/>
        <c:crosses val="autoZero"/>
        <c:crossBetween val="midCat"/>
      </c:valAx>
      <c:valAx>
        <c:axId val="500903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BMI (kg / m^2)</a:t>
                </a:r>
              </a:p>
            </c:rich>
          </c:tx>
          <c:layout>
            <c:manualLayout>
              <c:xMode val="edge"/>
              <c:yMode val="edge"/>
              <c:x val="5.5555555555555552E-2"/>
              <c:y val="0.268136532068458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2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HCT!$B$3:$B$66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HCT!$D$3:$D$66</c:f>
              <c:numCache>
                <c:formatCode>General</c:formatCode>
                <c:ptCount val="64"/>
                <c:pt idx="0">
                  <c:v>0.35899999999999999</c:v>
                </c:pt>
                <c:pt idx="1">
                  <c:v>0.35899999999999999</c:v>
                </c:pt>
                <c:pt idx="2">
                  <c:v>0.35899999999999999</c:v>
                </c:pt>
                <c:pt idx="3">
                  <c:v>0.34298785720000002</c:v>
                </c:pt>
                <c:pt idx="4">
                  <c:v>0.35030012205</c:v>
                </c:pt>
                <c:pt idx="5">
                  <c:v>0.35728796960000003</c:v>
                </c:pt>
                <c:pt idx="6">
                  <c:v>0.36066235216875003</c:v>
                </c:pt>
                <c:pt idx="7">
                  <c:v>0.36395816875000003</c:v>
                </c:pt>
                <c:pt idx="8">
                  <c:v>0.37031748840000001</c:v>
                </c:pt>
                <c:pt idx="9">
                  <c:v>0.37637269745000002</c:v>
                </c:pt>
                <c:pt idx="10">
                  <c:v>0.38213056480000002</c:v>
                </c:pt>
                <c:pt idx="11">
                  <c:v>0.38759785935000002</c:v>
                </c:pt>
                <c:pt idx="12">
                  <c:v>0.39278135000000003</c:v>
                </c:pt>
                <c:pt idx="13">
                  <c:v>0.39428206738505001</c:v>
                </c:pt>
                <c:pt idx="14">
                  <c:v>0.39768780565</c:v>
                </c:pt>
                <c:pt idx="15">
                  <c:v>0.40232399520000001</c:v>
                </c:pt>
                <c:pt idx="16">
                  <c:v>0.40669668754999999</c:v>
                </c:pt>
                <c:pt idx="17">
                  <c:v>0.41081265160000002</c:v>
                </c:pt>
                <c:pt idx="18">
                  <c:v>0.41467865625</c:v>
                </c:pt>
                <c:pt idx="19">
                  <c:v>0.41830147039999999</c:v>
                </c:pt>
                <c:pt idx="20">
                  <c:v>0.42168786294999999</c:v>
                </c:pt>
                <c:pt idx="21">
                  <c:v>0.42484460280000003</c:v>
                </c:pt>
                <c:pt idx="22">
                  <c:v>0.42777845884999999</c:v>
                </c:pt>
                <c:pt idx="23">
                  <c:v>0.4304962</c:v>
                </c:pt>
                <c:pt idx="24">
                  <c:v>0.43300459515</c:v>
                </c:pt>
                <c:pt idx="25">
                  <c:v>0.43531041319999997</c:v>
                </c:pt>
                <c:pt idx="26">
                  <c:v>0.43742042305000001</c:v>
                </c:pt>
                <c:pt idx="27">
                  <c:v>0.43934139360000002</c:v>
                </c:pt>
                <c:pt idx="28">
                  <c:v>0.44108009375000001</c:v>
                </c:pt>
                <c:pt idx="29">
                  <c:v>0.4426432924</c:v>
                </c:pt>
                <c:pt idx="30">
                  <c:v>0.44403775844999999</c:v>
                </c:pt>
                <c:pt idx="31">
                  <c:v>0.44527026079999998</c:v>
                </c:pt>
                <c:pt idx="32">
                  <c:v>0.44634756835</c:v>
                </c:pt>
                <c:pt idx="33">
                  <c:v>0.44727644999999999</c:v>
                </c:pt>
                <c:pt idx="34">
                  <c:v>0.44806367465000002</c:v>
                </c:pt>
                <c:pt idx="35">
                  <c:v>0.44871601119999999</c:v>
                </c:pt>
                <c:pt idx="36">
                  <c:v>0.44924022855000001</c:v>
                </c:pt>
                <c:pt idx="37">
                  <c:v>0.44964309559999999</c:v>
                </c:pt>
                <c:pt idx="38">
                  <c:v>0.44993138125000004</c:v>
                </c:pt>
                <c:pt idx="39">
                  <c:v>0.45011185440000001</c:v>
                </c:pt>
                <c:pt idx="40">
                  <c:v>0.45019128395000002</c:v>
                </c:pt>
                <c:pt idx="41">
                  <c:v>0.45017643880000002</c:v>
                </c:pt>
                <c:pt idx="42">
                  <c:v>0.45007408785000003</c:v>
                </c:pt>
                <c:pt idx="43">
                  <c:v>0.44989099999999999</c:v>
                </c:pt>
                <c:pt idx="44">
                  <c:v>0.44963394415000002</c:v>
                </c:pt>
                <c:pt idx="45">
                  <c:v>0.44930968920000003</c:v>
                </c:pt>
                <c:pt idx="46">
                  <c:v>0.44892500404999996</c:v>
                </c:pt>
                <c:pt idx="47">
                  <c:v>0.44848665759999995</c:v>
                </c:pt>
                <c:pt idx="48">
                  <c:v>0.44800141874999999</c:v>
                </c:pt>
                <c:pt idx="49">
                  <c:v>0.44747605639999999</c:v>
                </c:pt>
                <c:pt idx="50">
                  <c:v>0.44691733945000001</c:v>
                </c:pt>
                <c:pt idx="51">
                  <c:v>0.4463320368</c:v>
                </c:pt>
                <c:pt idx="52">
                  <c:v>0.44572691734999997</c:v>
                </c:pt>
                <c:pt idx="53">
                  <c:v>0.44510874999999994</c:v>
                </c:pt>
                <c:pt idx="54">
                  <c:v>0.44448430365000002</c:v>
                </c:pt>
                <c:pt idx="55">
                  <c:v>0.4438603472</c:v>
                </c:pt>
                <c:pt idx="56">
                  <c:v>0.44324364954999995</c:v>
                </c:pt>
                <c:pt idx="57">
                  <c:v>0.44264097959999998</c:v>
                </c:pt>
                <c:pt idx="58">
                  <c:v>0.44205910625</c:v>
                </c:pt>
                <c:pt idx="59">
                  <c:v>0.44150479839999995</c:v>
                </c:pt>
                <c:pt idx="60">
                  <c:v>0.44098482495000008</c:v>
                </c:pt>
                <c:pt idx="61">
                  <c:v>0.44050595479999999</c:v>
                </c:pt>
                <c:pt idx="62">
                  <c:v>0.44007495685000003</c:v>
                </c:pt>
                <c:pt idx="63">
                  <c:v>0.43969860000000005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DD-422B-81E7-D7CC6BB15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900176"/>
        <c:axId val="500904096"/>
      </c:scatterChart>
      <c:valAx>
        <c:axId val="500900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4096"/>
        <c:crosses val="autoZero"/>
        <c:crossBetween val="midCat"/>
      </c:valAx>
      <c:valAx>
        <c:axId val="500904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0017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VBRN (L)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16245370370370371"/>
          <c:w val="0.79965507436570427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Vol'!$B$8:$B$71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'Brain Vol'!$C$8:$C$71</c:f>
              <c:numCache>
                <c:formatCode>0.00</c:formatCode>
                <c:ptCount val="64"/>
                <c:pt idx="0">
                  <c:v>0.65409309791332249</c:v>
                </c:pt>
                <c:pt idx="1">
                  <c:v>0.82600502512562801</c:v>
                </c:pt>
                <c:pt idx="2">
                  <c:v>0.93653250773993801</c:v>
                </c:pt>
                <c:pt idx="3">
                  <c:v>1.0135726795096323</c:v>
                </c:pt>
                <c:pt idx="4">
                  <c:v>1.1139112903225807</c:v>
                </c:pt>
                <c:pt idx="5">
                  <c:v>1.1763904034896402</c:v>
                </c:pt>
                <c:pt idx="6">
                  <c:v>1.1995515695067265</c:v>
                </c:pt>
                <c:pt idx="7">
                  <c:v>1.2190366972477065</c:v>
                </c:pt>
                <c:pt idx="8">
                  <c:v>1.2500000000000002</c:v>
                </c:pt>
                <c:pt idx="9">
                  <c:v>1.2735027855153205</c:v>
                </c:pt>
                <c:pt idx="10">
                  <c:v>1.2919515226848974</c:v>
                </c:pt>
                <c:pt idx="11">
                  <c:v>1.3068181818181817</c:v>
                </c:pt>
                <c:pt idx="12">
                  <c:v>1.3190537084398974</c:v>
                </c:pt>
                <c:pt idx="13">
                  <c:v>1.3223130200807214</c:v>
                </c:pt>
                <c:pt idx="14">
                  <c:v>1.329299812030075</c:v>
                </c:pt>
                <c:pt idx="15">
                  <c:v>1.3380052151238593</c:v>
                </c:pt>
                <c:pt idx="16">
                  <c:v>1.3454931285367826</c:v>
                </c:pt>
                <c:pt idx="17">
                  <c:v>1.3520022667170382</c:v>
                </c:pt>
                <c:pt idx="18">
                  <c:v>1.3577127659574468</c:v>
                </c:pt>
                <c:pt idx="19">
                  <c:v>1.3627631139325092</c:v>
                </c:pt>
                <c:pt idx="20">
                  <c:v>1.3672615287428933</c:v>
                </c:pt>
                <c:pt idx="21">
                  <c:v>1.3712938005390836</c:v>
                </c:pt>
                <c:pt idx="22">
                  <c:v>1.3749288154897497</c:v>
                </c:pt>
                <c:pt idx="23">
                  <c:v>1.3782225237449117</c:v>
                </c:pt>
                <c:pt idx="24">
                  <c:v>1.381220839813375</c:v>
                </c:pt>
                <c:pt idx="25">
                  <c:v>1.3839617960803769</c:v>
                </c:pt>
                <c:pt idx="26">
                  <c:v>1.3864771646051379</c:v>
                </c:pt>
                <c:pt idx="27">
                  <c:v>1.3887936943111723</c:v>
                </c:pt>
                <c:pt idx="28">
                  <c:v>1.3909340659340659</c:v>
                </c:pt>
                <c:pt idx="29">
                  <c:v>1.3929176370950669</c:v>
                </c:pt>
                <c:pt idx="30">
                  <c:v>1.3947610294117649</c:v>
                </c:pt>
                <c:pt idx="31">
                  <c:v>1.3964785953837051</c:v>
                </c:pt>
                <c:pt idx="32">
                  <c:v>1.3980827928271653</c:v>
                </c:pt>
                <c:pt idx="33">
                  <c:v>1.3995844875346262</c:v>
                </c:pt>
                <c:pt idx="34">
                  <c:v>1.4009931997136722</c:v>
                </c:pt>
                <c:pt idx="35">
                  <c:v>1.4023173060232597</c:v>
                </c:pt>
                <c:pt idx="36">
                  <c:v>1.4035642062689586</c:v>
                </c:pt>
                <c:pt idx="37">
                  <c:v>1.4047404617651873</c:v>
                </c:pt>
                <c:pt idx="38">
                  <c:v>1.4058519108280254</c:v>
                </c:pt>
                <c:pt idx="39">
                  <c:v>1.4069037656903765</c:v>
                </c:pt>
                <c:pt idx="40">
                  <c:v>1.4079006942348322</c:v>
                </c:pt>
                <c:pt idx="41">
                  <c:v>1.4088468892484189</c:v>
                </c:pt>
                <c:pt idx="42">
                  <c:v>1.4097461273666092</c:v>
                </c:pt>
                <c:pt idx="43">
                  <c:v>1.4106018194541636</c:v>
                </c:pt>
                <c:pt idx="44">
                  <c:v>1.4114170538398469</c:v>
                </c:pt>
                <c:pt idx="45">
                  <c:v>1.4121946335602724</c:v>
                </c:pt>
                <c:pt idx="46">
                  <c:v>1.4129371085594988</c:v>
                </c:pt>
                <c:pt idx="47">
                  <c:v>1.4136468036238354</c:v>
                </c:pt>
                <c:pt idx="48">
                  <c:v>1.4143258426966292</c:v>
                </c:pt>
                <c:pt idx="49">
                  <c:v>1.414976170108762</c:v>
                </c:pt>
                <c:pt idx="50">
                  <c:v>1.4155995691718524</c:v>
                </c:pt>
                <c:pt idx="51">
                  <c:v>1.4161976785086177</c:v>
                </c:pt>
                <c:pt idx="52">
                  <c:v>1.4167720064353022</c:v>
                </c:pt>
                <c:pt idx="53">
                  <c:v>1.4173239436619718</c:v>
                </c:pt>
                <c:pt idx="54">
                  <c:v>1.417854774535809</c:v>
                </c:pt>
                <c:pt idx="55">
                  <c:v>1.4183656870187615</c:v>
                </c:pt>
                <c:pt idx="56">
                  <c:v>1.4188577815626995</c:v>
                </c:pt>
                <c:pt idx="57">
                  <c:v>1.4193320790216368</c:v>
                </c:pt>
                <c:pt idx="58">
                  <c:v>1.4197895277207391</c:v>
                </c:pt>
                <c:pt idx="59">
                  <c:v>1.4202310097851307</c:v>
                </c:pt>
                <c:pt idx="60">
                  <c:v>1.4206573468173707</c:v>
                </c:pt>
                <c:pt idx="61">
                  <c:v>1.4210693050004872</c:v>
                </c:pt>
                <c:pt idx="62">
                  <c:v>1.4214675996932515</c:v>
                </c:pt>
                <c:pt idx="63">
                  <c:v>1.4218528995756718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4-47D2-BD57-D88EAB7C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6496"/>
        <c:axId val="503377280"/>
      </c:scatterChart>
      <c:valAx>
        <c:axId val="50337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7280"/>
        <c:crosses val="autoZero"/>
        <c:crossBetween val="midCat"/>
      </c:valAx>
      <c:valAx>
        <c:axId val="503377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Brain vol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6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VBRNC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90048118985126"/>
          <c:y val="0.16245370370370371"/>
          <c:w val="0.79965507436570427"/>
          <c:h val="0.62271617089530473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'Brain Vol'!$B$8:$B$71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'Brain Vol'!$E$8:$E$71</c:f>
              <c:numCache>
                <c:formatCode>0.000</c:formatCode>
                <c:ptCount val="64"/>
                <c:pt idx="0">
                  <c:v>9.4584634465177397E-2</c:v>
                </c:pt>
                <c:pt idx="1">
                  <c:v>8.8216646024866063E-2</c:v>
                </c:pt>
                <c:pt idx="2">
                  <c:v>8.2878982985835223E-2</c:v>
                </c:pt>
                <c:pt idx="3">
                  <c:v>7.8476985149126016E-2</c:v>
                </c:pt>
                <c:pt idx="4">
                  <c:v>7.185884220968837E-2</c:v>
                </c:pt>
                <c:pt idx="5">
                  <c:v>6.6619394217891981E-2</c:v>
                </c:pt>
                <c:pt idx="6">
                  <c:v>6.4215822778732681E-2</c:v>
                </c:pt>
                <c:pt idx="7">
                  <c:v>6.1833832982349762E-2</c:v>
                </c:pt>
                <c:pt idx="8">
                  <c:v>5.7017475332537176E-2</c:v>
                </c:pt>
                <c:pt idx="9">
                  <c:v>5.1965754802647084E-2</c:v>
                </c:pt>
                <c:pt idx="10">
                  <c:v>4.6714363627595352E-2</c:v>
                </c:pt>
                <c:pt idx="11">
                  <c:v>4.1499345289959078E-2</c:v>
                </c:pt>
                <c:pt idx="12">
                  <c:v>3.6657071697899751E-2</c:v>
                </c:pt>
                <c:pt idx="13">
                  <c:v>3.5327625436300331E-2</c:v>
                </c:pt>
                <c:pt idx="14">
                  <c:v>3.2484563190899082E-2</c:v>
                </c:pt>
                <c:pt idx="15">
                  <c:v>2.9136714334613491E-2</c:v>
                </c:pt>
                <c:pt idx="16">
                  <c:v>2.6610244236245841E-2</c:v>
                </c:pt>
                <c:pt idx="17">
                  <c:v>2.4794317701412504E-2</c:v>
                </c:pt>
                <c:pt idx="18">
                  <c:v>2.3536069590298199E-2</c:v>
                </c:pt>
                <c:pt idx="19">
                  <c:v>2.2687130098079714E-2</c:v>
                </c:pt>
                <c:pt idx="20">
                  <c:v>2.2125175219394676E-2</c:v>
                </c:pt>
                <c:pt idx="21">
                  <c:v>2.1758321766553866E-2</c:v>
                </c:pt>
                <c:pt idx="22">
                  <c:v>2.1521381351837867E-2</c:v>
                </c:pt>
                <c:pt idx="23">
                  <c:v>2.1369742679484695E-2</c:v>
                </c:pt>
                <c:pt idx="24">
                  <c:v>2.1273574238500664E-2</c:v>
                </c:pt>
                <c:pt idx="25">
                  <c:v>2.1185534263983761E-2</c:v>
                </c:pt>
                <c:pt idx="26">
                  <c:v>2.1375576796368548E-2</c:v>
                </c:pt>
                <c:pt idx="27">
                  <c:v>2.1197967239695765E-2</c:v>
                </c:pt>
                <c:pt idx="28">
                  <c:v>2.1029349818228814E-2</c:v>
                </c:pt>
                <c:pt idx="29">
                  <c:v>2.0869547271339176E-2</c:v>
                </c:pt>
                <c:pt idx="30">
                  <c:v>2.071836887302277E-2</c:v>
                </c:pt>
                <c:pt idx="31">
                  <c:v>2.0575617109691618E-2</c:v>
                </c:pt>
                <c:pt idx="32">
                  <c:v>2.0441092626860953E-2</c:v>
                </c:pt>
                <c:pt idx="33">
                  <c:v>2.0314597884730754E-2</c:v>
                </c:pt>
                <c:pt idx="34">
                  <c:v>2.0195939846770254E-2</c:v>
                </c:pt>
                <c:pt idx="35">
                  <c:v>2.0084931941906466E-2</c:v>
                </c:pt>
                <c:pt idx="36">
                  <c:v>1.9981395480180863E-2</c:v>
                </c:pt>
                <c:pt idx="37">
                  <c:v>1.988516065718399E-2</c:v>
                </c:pt>
                <c:pt idx="38">
                  <c:v>1.9796067249640663E-2</c:v>
                </c:pt>
                <c:pt idx="39">
                  <c:v>1.9713965079995559E-2</c:v>
                </c:pt>
                <c:pt idx="40">
                  <c:v>1.963871430947679E-2</c:v>
                </c:pt>
                <c:pt idx="41">
                  <c:v>1.9570185605269474E-2</c:v>
                </c:pt>
                <c:pt idx="42">
                  <c:v>1.9508260216947869E-2</c:v>
                </c:pt>
                <c:pt idx="43">
                  <c:v>1.9452829989339809E-2</c:v>
                </c:pt>
                <c:pt idx="44">
                  <c:v>1.9403797332912118E-2</c:v>
                </c:pt>
                <c:pt idx="45">
                  <c:v>1.9361075168108074E-2</c:v>
                </c:pt>
                <c:pt idx="46">
                  <c:v>1.9324586856498689E-2</c:v>
                </c:pt>
                <c:pt idx="47">
                  <c:v>1.9294266128872868E-2</c:v>
                </c:pt>
                <c:pt idx="48">
                  <c:v>1.927005701829574E-2</c:v>
                </c:pt>
                <c:pt idx="49">
                  <c:v>1.925191380456585E-2</c:v>
                </c:pt>
                <c:pt idx="50">
                  <c:v>1.9239800975290221E-2</c:v>
                </c:pt>
                <c:pt idx="51">
                  <c:v>1.9233693207888144E-2</c:v>
                </c:pt>
                <c:pt idx="52">
                  <c:v>1.9233575376167437E-2</c:v>
                </c:pt>
                <c:pt idx="53">
                  <c:v>1.9239442584641057E-2</c:v>
                </c:pt>
                <c:pt idx="54">
                  <c:v>1.9251300233431339E-2</c:v>
                </c:pt>
                <c:pt idx="55">
                  <c:v>1.9269164116415629E-2</c:v>
                </c:pt>
                <c:pt idx="56">
                  <c:v>1.929306055517941E-2</c:v>
                </c:pt>
                <c:pt idx="57">
                  <c:v>1.9323026571345596E-2</c:v>
                </c:pt>
                <c:pt idx="58">
                  <c:v>1.9359110099930459E-2</c:v>
                </c:pt>
                <c:pt idx="59">
                  <c:v>1.9401370246529753E-2</c:v>
                </c:pt>
                <c:pt idx="60">
                  <c:v>1.9449877591358047E-2</c:v>
                </c:pt>
                <c:pt idx="61">
                  <c:v>1.9504714543448112E-2</c:v>
                </c:pt>
                <c:pt idx="62">
                  <c:v>1.95659757486649E-2</c:v>
                </c:pt>
                <c:pt idx="63">
                  <c:v>1.9633768555602213E-2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B4-47D2-BD57-D88EAB7CE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8064"/>
        <c:axId val="503378456"/>
      </c:scatterChart>
      <c:valAx>
        <c:axId val="503378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8456"/>
        <c:crosses val="autoZero"/>
        <c:crossBetween val="midCat"/>
      </c:valAx>
      <c:valAx>
        <c:axId val="503378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Brain</a:t>
                </a:r>
                <a:r>
                  <a:rPr lang="en-US" baseline="0"/>
                  <a:t> volume (</a:t>
                </a:r>
                <a:r>
                  <a:rPr lang="en-US"/>
                  <a:t>fraction of BW)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VFAT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VFAT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Vol'!$B$10:$B$73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Vol'!$F$10:$F$73</c:f>
              <c:numCache>
                <c:formatCode>0.00</c:formatCode>
                <c:ptCount val="64"/>
                <c:pt idx="0">
                  <c:v>2.5875450913980989</c:v>
                </c:pt>
                <c:pt idx="1">
                  <c:v>3.520953660162184</c:v>
                </c:pt>
                <c:pt idx="2">
                  <c:v>4.1593604681948086</c:v>
                </c:pt>
                <c:pt idx="3">
                  <c:v>4.6316765343848241</c:v>
                </c:pt>
                <c:pt idx="4">
                  <c:v>5.2792940044691417</c:v>
                </c:pt>
                <c:pt idx="5">
                  <c:v>5.5994094442037019</c:v>
                </c:pt>
                <c:pt idx="6">
                  <c:v>5.7307529944970614</c:v>
                </c:pt>
                <c:pt idx="7">
                  <c:v>5.8874787025245778</c:v>
                </c:pt>
                <c:pt idx="8">
                  <c:v>6.3108495487671128</c:v>
                </c:pt>
                <c:pt idx="9">
                  <c:v>6.9610821193543293</c:v>
                </c:pt>
                <c:pt idx="10">
                  <c:v>7.9034083436712512</c:v>
                </c:pt>
                <c:pt idx="11">
                  <c:v>9.1445052360387571</c:v>
                </c:pt>
                <c:pt idx="12">
                  <c:v>10.572882744310172</c:v>
                </c:pt>
                <c:pt idx="13">
                  <c:v>11.007627003703702</c:v>
                </c:pt>
                <c:pt idx="14">
                  <c:v>12.029432254869166</c:v>
                </c:pt>
                <c:pt idx="15">
                  <c:v>13.585376096861085</c:v>
                </c:pt>
                <c:pt idx="16">
                  <c:v>15.348906408306142</c:v>
                </c:pt>
                <c:pt idx="17">
                  <c:v>17.124620413679008</c:v>
                </c:pt>
                <c:pt idx="18">
                  <c:v>18.673971324319435</c:v>
                </c:pt>
                <c:pt idx="19">
                  <c:v>19.902994144070295</c:v>
                </c:pt>
                <c:pt idx="20">
                  <c:v>20.829952620333941</c:v>
                </c:pt>
                <c:pt idx="21">
                  <c:v>21.519108842429361</c:v>
                </c:pt>
                <c:pt idx="22">
                  <c:v>22.040064700680919</c:v>
                </c:pt>
                <c:pt idx="23">
                  <c:v>22.450929791801286</c:v>
                </c:pt>
                <c:pt idx="24">
                  <c:v>22.794670443180298</c:v>
                </c:pt>
                <c:pt idx="25">
                  <c:v>23.148656638266587</c:v>
                </c:pt>
                <c:pt idx="26">
                  <c:v>23.047812743376241</c:v>
                </c:pt>
                <c:pt idx="27">
                  <c:v>23.593978828643639</c:v>
                </c:pt>
                <c:pt idx="28">
                  <c:v>24.150239799576294</c:v>
                </c:pt>
                <c:pt idx="29">
                  <c:v>24.553836927417613</c:v>
                </c:pt>
                <c:pt idx="30">
                  <c:v>24.943770494315718</c:v>
                </c:pt>
                <c:pt idx="31">
                  <c:v>25.319840642226225</c:v>
                </c:pt>
                <c:pt idx="32">
                  <c:v>25.681863100863808</c:v>
                </c:pt>
                <c:pt idx="33">
                  <c:v>26.02966823601836</c:v>
                </c:pt>
                <c:pt idx="34">
                  <c:v>26.363100160507347</c:v>
                </c:pt>
                <c:pt idx="35">
                  <c:v>26.68201589581523</c:v>
                </c:pt>
                <c:pt idx="36">
                  <c:v>26.986284580539809</c:v>
                </c:pt>
                <c:pt idx="37">
                  <c:v>27.275786724060232</c:v>
                </c:pt>
                <c:pt idx="38">
                  <c:v>27.550413504496682</c:v>
                </c:pt>
                <c:pt idx="39">
                  <c:v>27.810066110220738</c:v>
                </c:pt>
                <c:pt idx="40">
                  <c:v>28.054655124231434</c:v>
                </c:pt>
                <c:pt idx="41">
                  <c:v>28.284099950732102</c:v>
                </c:pt>
                <c:pt idx="42">
                  <c:v>28.498328283250093</c:v>
                </c:pt>
                <c:pt idx="43">
                  <c:v>28.697275613648966</c:v>
                </c:pt>
                <c:pt idx="44">
                  <c:v>28.880884781385031</c:v>
                </c:pt>
                <c:pt idx="45">
                  <c:v>29.049105562366467</c:v>
                </c:pt>
                <c:pt idx="46">
                  <c:v>29.201894296776135</c:v>
                </c:pt>
                <c:pt idx="47">
                  <c:v>29.339213555224038</c:v>
                </c:pt>
                <c:pt idx="48">
                  <c:v>29.461031842599596</c:v>
                </c:pt>
                <c:pt idx="49">
                  <c:v>29.567323338997884</c:v>
                </c:pt>
                <c:pt idx="50">
                  <c:v>29.65806767709817</c:v>
                </c:pt>
                <c:pt idx="51">
                  <c:v>29.733249755377621</c:v>
                </c:pt>
                <c:pt idx="52">
                  <c:v>29.792859586546619</c:v>
                </c:pt>
                <c:pt idx="53">
                  <c:v>29.836892180596941</c:v>
                </c:pt>
                <c:pt idx="54">
                  <c:v>29.865347461857606</c:v>
                </c:pt>
                <c:pt idx="55">
                  <c:v>29.878230219457762</c:v>
                </c:pt>
                <c:pt idx="56">
                  <c:v>29.875550090599841</c:v>
                </c:pt>
                <c:pt idx="57">
                  <c:v>29.857321576050477</c:v>
                </c:pt>
                <c:pt idx="58">
                  <c:v>29.823564087260724</c:v>
                </c:pt>
                <c:pt idx="59">
                  <c:v>29.774302024531153</c:v>
                </c:pt>
                <c:pt idx="60">
                  <c:v>29.709564885641576</c:v>
                </c:pt>
                <c:pt idx="61">
                  <c:v>29.629387404369151</c:v>
                </c:pt>
                <c:pt idx="62">
                  <c:v>29.533809718322768</c:v>
                </c:pt>
                <c:pt idx="63">
                  <c:v>29.422877565525511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A1-41F0-A6F6-97C54FD6F78D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'Fat Vol'!$B$10:$B$73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Vol'!$J$10:$J$73</c:f>
              <c:numCache>
                <c:formatCode>General</c:formatCode>
                <c:ptCount val="64"/>
                <c:pt idx="10">
                  <c:v>8.2454539698410105</c:v>
                </c:pt>
                <c:pt idx="11">
                  <c:v>10.105869453573359</c:v>
                </c:pt>
                <c:pt idx="12">
                  <c:v>11.717184034303962</c:v>
                </c:pt>
                <c:pt idx="14">
                  <c:v>13.274639667740145</c:v>
                </c:pt>
                <c:pt idx="15">
                  <c:v>14.53001485514757</c:v>
                </c:pt>
                <c:pt idx="16">
                  <c:v>15.601271835964967</c:v>
                </c:pt>
                <c:pt idx="17">
                  <c:v>17.971017472930775</c:v>
                </c:pt>
                <c:pt idx="18">
                  <c:v>18.915156909572421</c:v>
                </c:pt>
                <c:pt idx="19">
                  <c:v>20.593396809831809</c:v>
                </c:pt>
                <c:pt idx="20">
                  <c:v>21.385265540496967</c:v>
                </c:pt>
                <c:pt idx="21">
                  <c:v>22.39866077094322</c:v>
                </c:pt>
                <c:pt idx="22">
                  <c:v>22.451759747330442</c:v>
                </c:pt>
                <c:pt idx="23">
                  <c:v>22.833758943079715</c:v>
                </c:pt>
                <c:pt idx="24">
                  <c:v>24.475678969732375</c:v>
                </c:pt>
                <c:pt idx="25">
                  <c:v>22.224964435571305</c:v>
                </c:pt>
                <c:pt idx="26">
                  <c:v>25.834921582791676</c:v>
                </c:pt>
                <c:pt idx="27">
                  <c:v>26.628630458794735</c:v>
                </c:pt>
                <c:pt idx="28">
                  <c:v>24.451948222686273</c:v>
                </c:pt>
                <c:pt idx="29">
                  <c:v>21.909881700190628</c:v>
                </c:pt>
                <c:pt idx="30">
                  <c:v>25.821051863907243</c:v>
                </c:pt>
                <c:pt idx="31">
                  <c:v>29.395837771934168</c:v>
                </c:pt>
                <c:pt idx="32">
                  <c:v>25.841925959227407</c:v>
                </c:pt>
                <c:pt idx="33">
                  <c:v>26.867262901398902</c:v>
                </c:pt>
                <c:pt idx="34">
                  <c:v>28.082866079202908</c:v>
                </c:pt>
                <c:pt idx="35">
                  <c:v>27.375826101654134</c:v>
                </c:pt>
                <c:pt idx="36">
                  <c:v>27.833403659595998</c:v>
                </c:pt>
                <c:pt idx="37">
                  <c:v>27.348737142449238</c:v>
                </c:pt>
                <c:pt idx="38">
                  <c:v>28.050733804647312</c:v>
                </c:pt>
                <c:pt idx="39">
                  <c:v>29.158000165802218</c:v>
                </c:pt>
                <c:pt idx="40">
                  <c:v>29.29678287226794</c:v>
                </c:pt>
                <c:pt idx="41">
                  <c:v>27.805795306370481</c:v>
                </c:pt>
                <c:pt idx="42">
                  <c:v>28.287434686054759</c:v>
                </c:pt>
                <c:pt idx="43">
                  <c:v>29.273568327986318</c:v>
                </c:pt>
                <c:pt idx="44">
                  <c:v>29.935512593157032</c:v>
                </c:pt>
                <c:pt idx="45">
                  <c:v>29.524600136600885</c:v>
                </c:pt>
                <c:pt idx="46">
                  <c:v>30.283629466329828</c:v>
                </c:pt>
                <c:pt idx="47">
                  <c:v>28.616142378507455</c:v>
                </c:pt>
                <c:pt idx="48">
                  <c:v>30.456246251301859</c:v>
                </c:pt>
                <c:pt idx="49">
                  <c:v>32.209432276882829</c:v>
                </c:pt>
                <c:pt idx="50">
                  <c:v>31.833977776727089</c:v>
                </c:pt>
                <c:pt idx="51">
                  <c:v>30.635118123507436</c:v>
                </c:pt>
                <c:pt idx="52">
                  <c:v>31.132487993480591</c:v>
                </c:pt>
                <c:pt idx="53">
                  <c:v>31.244669733956865</c:v>
                </c:pt>
                <c:pt idx="54">
                  <c:v>31.261048583692705</c:v>
                </c:pt>
                <c:pt idx="55">
                  <c:v>31.114242510248268</c:v>
                </c:pt>
                <c:pt idx="56">
                  <c:v>30.7847855749602</c:v>
                </c:pt>
                <c:pt idx="57">
                  <c:v>31.304547845919803</c:v>
                </c:pt>
                <c:pt idx="58">
                  <c:v>32.176205130972257</c:v>
                </c:pt>
                <c:pt idx="59">
                  <c:v>30.76541144415992</c:v>
                </c:pt>
                <c:pt idx="60">
                  <c:v>31.713507977547703</c:v>
                </c:pt>
                <c:pt idx="61">
                  <c:v>32.508159212685385</c:v>
                </c:pt>
                <c:pt idx="62">
                  <c:v>33.55235089547979</c:v>
                </c:pt>
                <c:pt idx="63">
                  <c:v>31.016760656321321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70-4F2C-B83B-FDF6E0F0E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78848"/>
        <c:axId val="503379632"/>
      </c:scatterChart>
      <c:valAx>
        <c:axId val="503378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9632"/>
        <c:crosses val="autoZero"/>
        <c:crossBetween val="midCat"/>
      </c:valAx>
      <c:valAx>
        <c:axId val="503379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VFAT (L)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78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VFATC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% FAT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'Fat Vol'!$B$10:$B$73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Vol'!$H$10:$H$73</c:f>
              <c:numCache>
                <c:formatCode>0.000</c:formatCode>
                <c:ptCount val="64"/>
                <c:pt idx="0">
                  <c:v>37.416998805342132</c:v>
                </c:pt>
                <c:pt idx="1">
                  <c:v>37.603490688357908</c:v>
                </c:pt>
                <c:pt idx="2">
                  <c:v>36.80849971853813</c:v>
                </c:pt>
                <c:pt idx="3">
                  <c:v>35.861267568925143</c:v>
                </c:pt>
                <c:pt idx="4">
                  <c:v>34.056926987053053</c:v>
                </c:pt>
                <c:pt idx="5">
                  <c:v>31.709648773420902</c:v>
                </c:pt>
                <c:pt idx="6">
                  <c:v>30.678549221076345</c:v>
                </c:pt>
                <c:pt idx="7">
                  <c:v>29.86336470435824</c:v>
                </c:pt>
                <c:pt idx="8">
                  <c:v>28.786296677934576</c:v>
                </c:pt>
                <c:pt idx="9">
                  <c:v>28.404954483792626</c:v>
                </c:pt>
                <c:pt idx="10">
                  <c:v>28.577131941944948</c:v>
                </c:pt>
                <c:pt idx="11">
                  <c:v>29.039309796579637</c:v>
                </c:pt>
                <c:pt idx="12">
                  <c:v>29.382497341223669</c:v>
                </c:pt>
                <c:pt idx="13">
                  <c:v>29.408568003483037</c:v>
                </c:pt>
                <c:pt idx="14">
                  <c:v>29.396743210033339</c:v>
                </c:pt>
                <c:pt idx="15">
                  <c:v>29.583832558222547</c:v>
                </c:pt>
                <c:pt idx="16">
                  <c:v>30.356018891637142</c:v>
                </c:pt>
                <c:pt idx="17">
                  <c:v>31.404775680136847</c:v>
                </c:pt>
                <c:pt idx="18">
                  <c:v>32.371492677722259</c:v>
                </c:pt>
                <c:pt idx="19">
                  <c:v>33.134285252616849</c:v>
                </c:pt>
                <c:pt idx="20">
                  <c:v>33.707256574410742</c:v>
                </c:pt>
                <c:pt idx="21">
                  <c:v>34.144374760463862</c:v>
                </c:pt>
                <c:pt idx="22">
                  <c:v>34.498705103767648</c:v>
                </c:pt>
                <c:pt idx="23">
                  <c:v>34.810822222113721</c:v>
                </c:pt>
                <c:pt idx="24">
                  <c:v>35.108369345243432</c:v>
                </c:pt>
                <c:pt idx="25">
                  <c:v>35.435707818246001</c:v>
                </c:pt>
                <c:pt idx="26">
                  <c:v>35.533242368594493</c:v>
                </c:pt>
                <c:pt idx="27">
                  <c:v>36.012864424167041</c:v>
                </c:pt>
                <c:pt idx="28">
                  <c:v>36.512430989915536</c:v>
                </c:pt>
                <c:pt idx="29">
                  <c:v>36.788066056666786</c:v>
                </c:pt>
                <c:pt idx="30">
                  <c:v>37.052529235292049</c:v>
                </c:pt>
                <c:pt idx="31">
                  <c:v>37.306074583241987</c:v>
                </c:pt>
                <c:pt idx="32">
                  <c:v>37.548945253345742</c:v>
                </c:pt>
                <c:pt idx="33">
                  <c:v>37.781373543165941</c:v>
                </c:pt>
                <c:pt idx="34">
                  <c:v>38.003580968472974</c:v>
                </c:pt>
                <c:pt idx="35">
                  <c:v>38.215778343352099</c:v>
                </c:pt>
                <c:pt idx="36">
                  <c:v>38.418165862028516</c:v>
                </c:pt>
                <c:pt idx="37">
                  <c:v>38.610933181028237</c:v>
                </c:pt>
                <c:pt idx="38">
                  <c:v>38.794259501286895</c:v>
                </c:pt>
                <c:pt idx="39">
                  <c:v>38.968313650097564</c:v>
                </c:pt>
                <c:pt idx="40">
                  <c:v>39.133254162866592</c:v>
                </c:pt>
                <c:pt idx="41">
                  <c:v>39.289229364669346</c:v>
                </c:pt>
                <c:pt idx="42">
                  <c:v>39.436377451602716</c:v>
                </c:pt>
                <c:pt idx="43">
                  <c:v>39.574826571934693</c:v>
                </c:pt>
                <c:pt idx="44">
                  <c:v>39.704694907049728</c:v>
                </c:pt>
                <c:pt idx="45">
                  <c:v>39.826090752190879</c:v>
                </c:pt>
                <c:pt idx="46">
                  <c:v>39.939112596997859</c:v>
                </c:pt>
                <c:pt idx="47">
                  <c:v>40.043849205841497</c:v>
                </c:pt>
                <c:pt idx="48">
                  <c:v>40.140379697954423</c:v>
                </c:pt>
                <c:pt idx="49">
                  <c:v>40.228773627358109</c:v>
                </c:pt>
                <c:pt idx="50">
                  <c:v>40.309091062585978</c:v>
                </c:pt>
                <c:pt idx="51">
                  <c:v>40.38138266620301</c:v>
                </c:pt>
                <c:pt idx="52">
                  <c:v>40.445689774121355</c:v>
                </c:pt>
                <c:pt idx="53">
                  <c:v>40.50204447471247</c:v>
                </c:pt>
                <c:pt idx="54">
                  <c:v>40.550469687715299</c:v>
                </c:pt>
                <c:pt idx="55">
                  <c:v>40.590979242940826</c:v>
                </c:pt>
                <c:pt idx="56">
                  <c:v>40.623577958772863</c:v>
                </c:pt>
                <c:pt idx="57">
                  <c:v>40.648261720465108</c:v>
                </c:pt>
                <c:pt idx="58">
                  <c:v>40.665017558234446</c:v>
                </c:pt>
                <c:pt idx="59">
                  <c:v>40.67382372515052</c:v>
                </c:pt>
                <c:pt idx="60">
                  <c:v>40.674649774821589</c:v>
                </c:pt>
                <c:pt idx="61">
                  <c:v>40.667456638876537</c:v>
                </c:pt>
                <c:pt idx="62">
                  <c:v>40.652196704243352</c:v>
                </c:pt>
                <c:pt idx="63">
                  <c:v>40.628813890223661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6F-4F73-9FA7-8529C4B3977B}"/>
            </c:ext>
          </c:extLst>
        </c:ser>
        <c:ser>
          <c:idx val="1"/>
          <c:order val="1"/>
          <c:tx>
            <c:v>NHANES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'Fat Vol'!$B$10:$B$73</c:f>
              <c:numCache>
                <c:formatCode>General</c:formatCode>
                <c:ptCount val="6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10.3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45</c:v>
                </c:pt>
                <c:pt idx="49">
                  <c:v>46</c:v>
                </c:pt>
                <c:pt idx="50">
                  <c:v>47</c:v>
                </c:pt>
                <c:pt idx="51">
                  <c:v>48</c:v>
                </c:pt>
                <c:pt idx="52">
                  <c:v>49</c:v>
                </c:pt>
                <c:pt idx="53">
                  <c:v>50</c:v>
                </c:pt>
                <c:pt idx="54">
                  <c:v>51</c:v>
                </c:pt>
                <c:pt idx="55">
                  <c:v>52</c:v>
                </c:pt>
                <c:pt idx="56">
                  <c:v>53</c:v>
                </c:pt>
                <c:pt idx="57">
                  <c:v>54</c:v>
                </c:pt>
                <c:pt idx="58">
                  <c:v>55</c:v>
                </c:pt>
                <c:pt idx="59">
                  <c:v>56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60</c:v>
                </c:pt>
              </c:numCache>
            </c:numRef>
          </c:xVal>
          <c:yVal>
            <c:numRef>
              <c:f>'Fat Vol'!$I$10:$I$73</c:f>
              <c:numCache>
                <c:formatCode>General</c:formatCode>
                <c:ptCount val="64"/>
                <c:pt idx="10">
                  <c:v>29.8139</c:v>
                </c:pt>
                <c:pt idx="11">
                  <c:v>32.092219999999998</c:v>
                </c:pt>
                <c:pt idx="12">
                  <c:v>32.562559999999998</c:v>
                </c:pt>
                <c:pt idx="14">
                  <c:v>32.439700000000002</c:v>
                </c:pt>
                <c:pt idx="15">
                  <c:v>31.640899999999998</c:v>
                </c:pt>
                <c:pt idx="16">
                  <c:v>30.855129999999999</c:v>
                </c:pt>
                <c:pt idx="17">
                  <c:v>32.956980000000001</c:v>
                </c:pt>
                <c:pt idx="18">
                  <c:v>32.789589999999997</c:v>
                </c:pt>
                <c:pt idx="19">
                  <c:v>34.283659999999998</c:v>
                </c:pt>
                <c:pt idx="20">
                  <c:v>34.605870000000003</c:v>
                </c:pt>
                <c:pt idx="21">
                  <c:v>35.539960000000001</c:v>
                </c:pt>
                <c:pt idx="22">
                  <c:v>35.143120000000003</c:v>
                </c:pt>
                <c:pt idx="23">
                  <c:v>35.404409999999999</c:v>
                </c:pt>
                <c:pt idx="24">
                  <c:v>37.69746</c:v>
                </c:pt>
                <c:pt idx="25">
                  <c:v>34.021729999999998</c:v>
                </c:pt>
                <c:pt idx="26">
                  <c:v>39.830179999999999</c:v>
                </c:pt>
                <c:pt idx="27">
                  <c:v>40.644829999999999</c:v>
                </c:pt>
                <c:pt idx="28">
                  <c:v>36.968580000000003</c:v>
                </c:pt>
                <c:pt idx="29">
                  <c:v>32.826729999999998</c:v>
                </c:pt>
                <c:pt idx="30">
                  <c:v>38.35568</c:v>
                </c:pt>
                <c:pt idx="31">
                  <c:v>43.311619999999998</c:v>
                </c:pt>
                <c:pt idx="32">
                  <c:v>37.782969999999999</c:v>
                </c:pt>
                <c:pt idx="33">
                  <c:v>38.997120000000002</c:v>
                </c:pt>
                <c:pt idx="34">
                  <c:v>40.482700000000001</c:v>
                </c:pt>
                <c:pt idx="35">
                  <c:v>39.209499999999998</c:v>
                </c:pt>
                <c:pt idx="36">
                  <c:v>39.624139999999997</c:v>
                </c:pt>
                <c:pt idx="37">
                  <c:v>38.714199999999998</c:v>
                </c:pt>
                <c:pt idx="38">
                  <c:v>39.49877</c:v>
                </c:pt>
                <c:pt idx="39">
                  <c:v>40.857080000000003</c:v>
                </c:pt>
                <c:pt idx="40">
                  <c:v>40.86589</c:v>
                </c:pt>
                <c:pt idx="41">
                  <c:v>38.62482</c:v>
                </c:pt>
                <c:pt idx="42">
                  <c:v>39.144539999999999</c:v>
                </c:pt>
                <c:pt idx="43">
                  <c:v>40.36956</c:v>
                </c:pt>
                <c:pt idx="44">
                  <c:v>41.15457</c:v>
                </c:pt>
                <c:pt idx="45">
                  <c:v>40.477989999999998</c:v>
                </c:pt>
                <c:pt idx="46">
                  <c:v>41.418590000000002</c:v>
                </c:pt>
                <c:pt idx="47">
                  <c:v>39.056959999999997</c:v>
                </c:pt>
                <c:pt idx="48">
                  <c:v>41.49635</c:v>
                </c:pt>
                <c:pt idx="49">
                  <c:v>43.82358</c:v>
                </c:pt>
                <c:pt idx="50">
                  <c:v>43.26643</c:v>
                </c:pt>
                <c:pt idx="51">
                  <c:v>41.606229999999996</c:v>
                </c:pt>
                <c:pt idx="52">
                  <c:v>42.264319999999998</c:v>
                </c:pt>
                <c:pt idx="53">
                  <c:v>42.413029999999999</c:v>
                </c:pt>
                <c:pt idx="54">
                  <c:v>42.445520000000002</c:v>
                </c:pt>
                <c:pt idx="55">
                  <c:v>42.270159999999997</c:v>
                </c:pt>
                <c:pt idx="56">
                  <c:v>41.859920000000002</c:v>
                </c:pt>
                <c:pt idx="57">
                  <c:v>42.618540000000003</c:v>
                </c:pt>
                <c:pt idx="58">
                  <c:v>43.872889999999998</c:v>
                </c:pt>
                <c:pt idx="59">
                  <c:v>42.027749999999997</c:v>
                </c:pt>
                <c:pt idx="60">
                  <c:v>43.418199999999999</c:v>
                </c:pt>
                <c:pt idx="61">
                  <c:v>44.618679999999998</c:v>
                </c:pt>
                <c:pt idx="62">
                  <c:v>46.183570000000003</c:v>
                </c:pt>
                <c:pt idx="63">
                  <c:v>42.829740000000001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99-4CD4-B678-420FE5641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380416"/>
        <c:axId val="503380808"/>
      </c:scatterChart>
      <c:valAx>
        <c:axId val="503380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0808"/>
        <c:crosses val="autoZero"/>
        <c:crossBetween val="midCat"/>
      </c:valAx>
      <c:valAx>
        <c:axId val="503380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VFATC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380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3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36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178593</xdr:colOff>
      <xdr:row>13</xdr:row>
      <xdr:rowOff>381003</xdr:rowOff>
    </xdr:from>
    <xdr:to>
      <xdr:col>21</xdr:col>
      <xdr:colOff>571500</xdr:colOff>
      <xdr:row>37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107156</xdr:colOff>
      <xdr:row>1</xdr:row>
      <xdr:rowOff>88106</xdr:rowOff>
    </xdr:from>
    <xdr:to>
      <xdr:col>13</xdr:col>
      <xdr:colOff>411956</xdr:colOff>
      <xdr:row>14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119063</xdr:colOff>
      <xdr:row>14</xdr:row>
      <xdr:rowOff>166687</xdr:rowOff>
    </xdr:from>
    <xdr:to>
      <xdr:col>13</xdr:col>
      <xdr:colOff>423863</xdr:colOff>
      <xdr:row>29</xdr:row>
      <xdr:rowOff>107157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292553</xdr:colOff>
      <xdr:row>1</xdr:row>
      <xdr:rowOff>95250</xdr:rowOff>
    </xdr:from>
    <xdr:to>
      <xdr:col>16</xdr:col>
      <xdr:colOff>259897</xdr:colOff>
      <xdr:row>10</xdr:row>
      <xdr:rowOff>92528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302078</xdr:colOff>
      <xdr:row>10</xdr:row>
      <xdr:rowOff>204106</xdr:rowOff>
    </xdr:from>
    <xdr:to>
      <xdr:col>16</xdr:col>
      <xdr:colOff>266700</xdr:colOff>
      <xdr:row>25</xdr:row>
      <xdr:rowOff>133349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342899</xdr:colOff>
      <xdr:row>1</xdr:row>
      <xdr:rowOff>156482</xdr:rowOff>
    </xdr:from>
    <xdr:to>
      <xdr:col>16</xdr:col>
      <xdr:colOff>95250</xdr:colOff>
      <xdr:row>9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869157</xdr:colOff>
      <xdr:row>26</xdr:row>
      <xdr:rowOff>31753</xdr:rowOff>
    </xdr:from>
    <xdr:to>
      <xdr:col>13</xdr:col>
      <xdr:colOff>381003</xdr:colOff>
      <xdr:row>42</xdr:row>
      <xdr:rowOff>54241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15876</xdr:colOff>
      <xdr:row>9</xdr:row>
      <xdr:rowOff>13232</xdr:rowOff>
    </xdr:from>
    <xdr:to>
      <xdr:col>13</xdr:col>
      <xdr:colOff>369095</xdr:colOff>
      <xdr:row>25</xdr:row>
      <xdr:rowOff>113773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0</xdr:row>
      <xdr:rowOff>92868</xdr:rowOff>
    </xdr:from>
    <xdr:to>
      <xdr:col>16</xdr:col>
      <xdr:colOff>0</xdr:colOff>
      <xdr:row>7</xdr:row>
      <xdr:rowOff>192880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138112</xdr:colOff>
      <xdr:row>3</xdr:row>
      <xdr:rowOff>152399</xdr:rowOff>
    </xdr:from>
    <xdr:to>
      <xdr:col>13</xdr:col>
      <xdr:colOff>309562</xdr:colOff>
      <xdr:row>7</xdr:row>
      <xdr:rowOff>121443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172518</xdr:colOff>
      <xdr:row>7</xdr:row>
      <xdr:rowOff>201921</xdr:rowOff>
    </xdr:from>
    <xdr:to>
      <xdr:col>13</xdr:col>
      <xdr:colOff>343968</xdr:colOff>
      <xdr:row>22</xdr:row>
      <xdr:rowOff>183115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88106</xdr:colOff>
      <xdr:row>2</xdr:row>
      <xdr:rowOff>47624</xdr:rowOff>
    </xdr:from>
    <xdr:to>
      <xdr:col>13</xdr:col>
      <xdr:colOff>392906</xdr:colOff>
      <xdr:row>6</xdr:row>
      <xdr:rowOff>183356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7</xdr:row>
      <xdr:rowOff>95250</xdr:rowOff>
    </xdr:from>
    <xdr:to>
      <xdr:col>13</xdr:col>
      <xdr:colOff>438150</xdr:colOff>
      <xdr:row>20</xdr:row>
      <xdr:rowOff>285750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147638</xdr:colOff>
      <xdr:row>1</xdr:row>
      <xdr:rowOff>69056</xdr:rowOff>
    </xdr:from>
    <xdr:to>
      <xdr:col>13</xdr:col>
      <xdr:colOff>452438</xdr:colOff>
      <xdr:row>9</xdr:row>
      <xdr:rowOff>35718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147638</xdr:colOff>
      <xdr:row>9</xdr:row>
      <xdr:rowOff>102394</xdr:rowOff>
    </xdr:from>
    <xdr:to>
      <xdr:col>13</xdr:col>
      <xdr:colOff>452438</xdr:colOff>
      <xdr:row>26</xdr:row>
      <xdr:rowOff>45244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1014304</xdr:colOff>
      <xdr:row>1</xdr:row>
      <xdr:rowOff>81113</xdr:rowOff>
    </xdr:from>
    <xdr:to>
      <xdr:col>8</xdr:col>
      <xdr:colOff>557893</xdr:colOff>
      <xdr:row>7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830037</xdr:colOff>
      <xdr:row>1</xdr:row>
      <xdr:rowOff>95250</xdr:rowOff>
    </xdr:from>
    <xdr:to>
      <xdr:col>15</xdr:col>
      <xdr:colOff>163285</xdr:colOff>
      <xdr:row>7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2714625</xdr:colOff>
      <xdr:row>0</xdr:row>
      <xdr:rowOff>57150</xdr:rowOff>
    </xdr:from>
    <xdr:to>
      <xdr:col>10</xdr:col>
      <xdr:colOff>152558</xdr:colOff>
      <xdr:row>3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43400" y="57150"/>
          <a:ext cx="7534433" cy="619125"/>
        </a:xfrm>
        <a:prstGeom prst="rect">
          <a:avLst/>
        </a:prstGeom>
      </xdr:spPr>
    </xdr:pic>
    <xdr:clientData/>
  </xdr:twoCellAnchor>
  <xdr:twoCellAnchor>
    <xdr:from>
      <xdr:col>6</xdr:col>
      <xdr:colOff>381000</xdr:colOff>
      <xdr:row>5</xdr:row>
      <xdr:rowOff>190500</xdr:rowOff>
    </xdr:from>
    <xdr:to>
      <xdr:col>13</xdr:col>
      <xdr:colOff>114300</xdr:colOff>
      <xdr:row>23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610378</xdr:colOff>
      <xdr:row>26</xdr:row>
      <xdr:rowOff>8553</xdr:rowOff>
    </xdr:from>
    <xdr:to>
      <xdr:col>14</xdr:col>
      <xdr:colOff>283806</xdr:colOff>
      <xdr:row>39</xdr:row>
      <xdr:rowOff>98360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18262</xdr:colOff>
      <xdr:row>0</xdr:row>
      <xdr:rowOff>87473</xdr:rowOff>
    </xdr:from>
    <xdr:to>
      <xdr:col>14</xdr:col>
      <xdr:colOff>0</xdr:colOff>
      <xdr:row>19</xdr:row>
      <xdr:rowOff>133243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85887" y="87473"/>
          <a:ext cx="4248938" cy="48463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591910</xdr:colOff>
      <xdr:row>1</xdr:row>
      <xdr:rowOff>157163</xdr:rowOff>
    </xdr:from>
    <xdr:to>
      <xdr:col>19</xdr:col>
      <xdr:colOff>353784</xdr:colOff>
      <xdr:row>16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610378</xdr:colOff>
      <xdr:row>26</xdr:row>
      <xdr:rowOff>8553</xdr:rowOff>
    </xdr:from>
    <xdr:to>
      <xdr:col>14</xdr:col>
      <xdr:colOff>283806</xdr:colOff>
      <xdr:row>39</xdr:row>
      <xdr:rowOff>98360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466532</xdr:colOff>
      <xdr:row>0</xdr:row>
      <xdr:rowOff>0</xdr:rowOff>
    </xdr:from>
    <xdr:to>
      <xdr:col>15</xdr:col>
      <xdr:colOff>320741</xdr:colOff>
      <xdr:row>21</xdr:row>
      <xdr:rowOff>18089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86482" y="0"/>
          <a:ext cx="5340609" cy="541876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610378</xdr:colOff>
      <xdr:row>26</xdr:row>
      <xdr:rowOff>8553</xdr:rowOff>
    </xdr:from>
    <xdr:to>
      <xdr:col>14</xdr:col>
      <xdr:colOff>283806</xdr:colOff>
      <xdr:row>39</xdr:row>
      <xdr:rowOff>98360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0</xdr:row>
          <xdr:rowOff>152400</xdr:rowOff>
        </xdr:from>
        <xdr:to>
          <xdr:col>16</xdr:col>
          <xdr:colOff>561975</xdr:colOff>
          <xdr:row>16</xdr:row>
          <xdr:rowOff>47625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17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8</xdr:col>
      <xdr:colOff>583163</xdr:colOff>
      <xdr:row>18</xdr:row>
      <xdr:rowOff>58316</xdr:rowOff>
    </xdr:from>
    <xdr:to>
      <xdr:col>16</xdr:col>
      <xdr:colOff>292310</xdr:colOff>
      <xdr:row>19</xdr:row>
      <xdr:rowOff>146084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700-000004000000}"/>
                </a:ext>
              </a:extLst>
            </xdr:cNvPr>
            <xdr:cNvSpPr txBox="1"/>
          </xdr:nvSpPr>
          <xdr:spPr>
            <a:xfrm>
              <a:off x="8860388" y="4658891"/>
              <a:ext cx="4585947" cy="287793"/>
            </a:xfrm>
            <a:prstGeom prst="rect">
              <a:avLst/>
            </a:prstGeom>
            <a:solidFill>
              <a:srgbClr val="FFFF00"/>
            </a:solidFill>
            <a:ln w="15875">
              <a:solidFill>
                <a:srgbClr val="FF0000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sz="1200" b="0" i="0" u="none" strike="noStrike" kern="120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</a:rPr>
                <a:t> </a:t>
              </a:r>
              <a14:m>
                <m:oMath xmlns:m="http://schemas.openxmlformats.org/officeDocument/2006/math"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(1 ×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𝐸𝑥𝑝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(</m:t>
                  </m:r>
                  <m:r>
                    <m:rPr>
                      <m:sty m:val="p"/>
                    </m:rPr>
                    <a:rPr kumimoji="0" lang="en-US" sz="1200" b="0" i="0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ln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⁡((1.65×</m:t>
                  </m:r>
                  <m:sSup>
                    <m:sSupPr>
                      <m:ctrlPr>
                        <a:rPr kumimoji="0" lang="en-US" sz="1200" b="0" i="1" u="none" strike="noStrike" kern="120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pPr>
                    <m:e>
                      <m:r>
                        <a:rPr kumimoji="0" lang="en-US" sz="1200" b="0" i="1" u="none" strike="noStrike" kern="120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10</m:t>
                      </m:r>
                    </m:e>
                    <m:sup>
                      <m:r>
                        <a:rPr kumimoji="0" lang="en-US" sz="1200" b="0" i="1" u="none" strike="noStrike" kern="120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−008)</m:t>
                      </m:r>
                    </m:sup>
                  </m:sSup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/1)×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𝐸𝑥𝑝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(−0.09376×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𝐴𝑔𝑒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)) </m:t>
                  </m:r>
                </m:oMath>
              </a14:m>
              <a:endParaRPr kumimoji="0" lang="en-US" sz="12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F919F57-A889-445C-9E2D-12B7DE9146EE}"/>
                </a:ext>
              </a:extLst>
            </xdr:cNvPr>
            <xdr:cNvSpPr txBox="1"/>
          </xdr:nvSpPr>
          <xdr:spPr>
            <a:xfrm>
              <a:off x="8860388" y="4658891"/>
              <a:ext cx="4585947" cy="287793"/>
            </a:xfrm>
            <a:prstGeom prst="rect">
              <a:avLst/>
            </a:prstGeom>
            <a:solidFill>
              <a:srgbClr val="FFFF00"/>
            </a:solidFill>
            <a:ln w="15875">
              <a:solidFill>
                <a:srgbClr val="FF0000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sz="1200" b="0" i="0" u="none" strike="noStrike" kern="120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</a:rPr>
                <a:t> </a:t>
              </a:r>
              <a:r>
                <a:rPr kumimoji="0" lang="en-US" sz="1200" b="0" i="0" u="none" strike="noStrike" kern="120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</a:rPr>
                <a:t>(1 ×𝐸𝑥𝑝(ln⁡((1.65×〖10〗^(−008))/1)×𝐸𝑥𝑝(−0.09376×𝐴𝑔𝑒)) </a:t>
              </a:r>
              <a:endParaRPr kumimoji="0" lang="en-US" sz="12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</a:endParaRPr>
            </a:p>
          </xdr:txBody>
        </xdr:sp>
      </mc:Fallback>
    </mc:AlternateContent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610378</xdr:colOff>
      <xdr:row>26</xdr:row>
      <xdr:rowOff>8553</xdr:rowOff>
    </xdr:from>
    <xdr:to>
      <xdr:col>14</xdr:col>
      <xdr:colOff>283806</xdr:colOff>
      <xdr:row>39</xdr:row>
      <xdr:rowOff>98360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152400</xdr:colOff>
          <xdr:row>0</xdr:row>
          <xdr:rowOff>85725</xdr:rowOff>
        </xdr:from>
        <xdr:to>
          <xdr:col>17</xdr:col>
          <xdr:colOff>276225</xdr:colOff>
          <xdr:row>18</xdr:row>
          <xdr:rowOff>9525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18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87474</xdr:colOff>
      <xdr:row>20</xdr:row>
      <xdr:rowOff>48596</xdr:rowOff>
    </xdr:from>
    <xdr:to>
      <xdr:col>16</xdr:col>
      <xdr:colOff>349412</xdr:colOff>
      <xdr:row>21</xdr:row>
      <xdr:rowOff>124694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1800-000004000000}"/>
                </a:ext>
              </a:extLst>
            </xdr:cNvPr>
            <xdr:cNvSpPr txBox="1"/>
          </xdr:nvSpPr>
          <xdr:spPr>
            <a:xfrm>
              <a:off x="8974299" y="5049221"/>
              <a:ext cx="4529138" cy="276123"/>
            </a:xfrm>
            <a:prstGeom prst="rect">
              <a:avLst/>
            </a:prstGeom>
            <a:solidFill>
              <a:srgbClr val="FFFF00"/>
            </a:solidFill>
            <a:ln w="15875">
              <a:solidFill>
                <a:srgbClr val="FF0000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sz="1200" b="0" i="0" u="none" strike="noStrike" kern="120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</a:rPr>
                <a:t> </a:t>
              </a:r>
              <a14:m>
                <m:oMath xmlns:m="http://schemas.openxmlformats.org/officeDocument/2006/math"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(0.9998 ×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𝐸𝑥𝑝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(</m:t>
                  </m:r>
                  <m:r>
                    <m:rPr>
                      <m:sty m:val="p"/>
                    </m:rPr>
                    <a:rPr kumimoji="0" lang="en-US" sz="1200" b="0" i="0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ln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⁡(0.02271/0.9998)×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𝐸𝑥𝑝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(−0.03287×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𝐴𝑔𝑒</m:t>
                  </m:r>
                  <m:r>
                    <a:rPr kumimoji="0" lang="en-US" sz="1200" b="0" i="1" u="none" strike="noStrike" kern="120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)) </m:t>
                  </m:r>
                </m:oMath>
              </a14:m>
              <a:endParaRPr kumimoji="0" lang="en-US" sz="12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2F4A059-E77B-4A1D-A621-306944883F7C}"/>
                </a:ext>
              </a:extLst>
            </xdr:cNvPr>
            <xdr:cNvSpPr txBox="1"/>
          </xdr:nvSpPr>
          <xdr:spPr>
            <a:xfrm>
              <a:off x="8974299" y="5049221"/>
              <a:ext cx="4529138" cy="276123"/>
            </a:xfrm>
            <a:prstGeom prst="rect">
              <a:avLst/>
            </a:prstGeom>
            <a:solidFill>
              <a:srgbClr val="FFFF00"/>
            </a:solidFill>
            <a:ln w="15875">
              <a:solidFill>
                <a:srgbClr val="FF0000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ysClr val="windowText" lastClr="000000"/>
                  </a:solidFill>
                  <a:latin typeface="Calibri" panose="020F0502020204030204"/>
                </a:defRPr>
              </a:lvl9pPr>
            </a:lstStyle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en-US" sz="1200" b="0" i="0" u="none" strike="noStrike" kern="120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 panose="020F0502020204030204"/>
                </a:rPr>
                <a:t> </a:t>
              </a:r>
              <a:r>
                <a:rPr kumimoji="0" lang="en-US" sz="1200" b="0" i="0" u="none" strike="noStrike" kern="120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Cambria Math" panose="02040503050406030204" pitchFamily="18" charset="0"/>
                </a:rPr>
                <a:t>(0.9998 ×𝐸𝑥𝑝(ln⁡(0.02271/0.9998)×𝐸𝑥𝑝(−0.03287×𝐴𝑔𝑒)) </a:t>
              </a:r>
              <a:endParaRPr kumimoji="0" lang="en-US" sz="1200" b="0" i="0" u="none" strike="noStrike" kern="120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Calibri" panose="020F0502020204030204"/>
              </a:endParaRPr>
            </a:p>
          </xdr:txBody>
        </xdr:sp>
      </mc:Fallback>
    </mc:AlternateContent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581220</xdr:colOff>
      <xdr:row>27</xdr:row>
      <xdr:rowOff>164063</xdr:rowOff>
    </xdr:from>
    <xdr:to>
      <xdr:col>14</xdr:col>
      <xdr:colOff>254648</xdr:colOff>
      <xdr:row>41</xdr:row>
      <xdr:rowOff>49763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583162</xdr:colOff>
      <xdr:row>2</xdr:row>
      <xdr:rowOff>29159</xdr:rowOff>
    </xdr:from>
    <xdr:to>
      <xdr:col>14</xdr:col>
      <xdr:colOff>435885</xdr:colOff>
      <xdr:row>25</xdr:row>
      <xdr:rowOff>145792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6887" y="429209"/>
          <a:ext cx="4729523" cy="5517308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610378</xdr:colOff>
      <xdr:row>26</xdr:row>
      <xdr:rowOff>8553</xdr:rowOff>
    </xdr:from>
    <xdr:to>
      <xdr:col>14</xdr:col>
      <xdr:colOff>283806</xdr:colOff>
      <xdr:row>39</xdr:row>
      <xdr:rowOff>98360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97194</xdr:colOff>
      <xdr:row>2</xdr:row>
      <xdr:rowOff>1</xdr:rowOff>
    </xdr:from>
    <xdr:to>
      <xdr:col>14</xdr:col>
      <xdr:colOff>519001</xdr:colOff>
      <xdr:row>20</xdr:row>
      <xdr:rowOff>126352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64819" y="400051"/>
          <a:ext cx="4689007" cy="4926951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361723</xdr:colOff>
      <xdr:row>31</xdr:row>
      <xdr:rowOff>17459</xdr:rowOff>
    </xdr:from>
    <xdr:to>
      <xdr:col>38</xdr:col>
      <xdr:colOff>15875</xdr:colOff>
      <xdr:row>48</xdr:row>
      <xdr:rowOff>254000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412750</xdr:colOff>
      <xdr:row>18</xdr:row>
      <xdr:rowOff>47625</xdr:rowOff>
    </xdr:from>
    <xdr:to>
      <xdr:col>34</xdr:col>
      <xdr:colOff>555625</xdr:colOff>
      <xdr:row>30</xdr:row>
      <xdr:rowOff>561975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382360</xdr:colOff>
      <xdr:row>0</xdr:row>
      <xdr:rowOff>213632</xdr:rowOff>
    </xdr:from>
    <xdr:to>
      <xdr:col>17</xdr:col>
      <xdr:colOff>136071</xdr:colOff>
      <xdr:row>18</xdr:row>
      <xdr:rowOff>163286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544286</xdr:colOff>
      <xdr:row>0</xdr:row>
      <xdr:rowOff>149679</xdr:rowOff>
    </xdr:from>
    <xdr:to>
      <xdr:col>20</xdr:col>
      <xdr:colOff>244927</xdr:colOff>
      <xdr:row>22</xdr:row>
      <xdr:rowOff>149677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139699</xdr:colOff>
      <xdr:row>1</xdr:row>
      <xdr:rowOff>333375</xdr:rowOff>
    </xdr:from>
    <xdr:to>
      <xdr:col>15</xdr:col>
      <xdr:colOff>333374</xdr:colOff>
      <xdr:row>22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443591</xdr:colOff>
      <xdr:row>0</xdr:row>
      <xdr:rowOff>117021</xdr:rowOff>
    </xdr:from>
    <xdr:to>
      <xdr:col>13</xdr:col>
      <xdr:colOff>138793</xdr:colOff>
      <xdr:row>10</xdr:row>
      <xdr:rowOff>100693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408213</xdr:colOff>
      <xdr:row>10</xdr:row>
      <xdr:rowOff>176892</xdr:rowOff>
    </xdr:from>
    <xdr:to>
      <xdr:col>13</xdr:col>
      <xdr:colOff>100693</xdr:colOff>
      <xdr:row>26</xdr:row>
      <xdr:rowOff>115660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373061</xdr:colOff>
      <xdr:row>1</xdr:row>
      <xdr:rowOff>60325</xdr:rowOff>
    </xdr:from>
    <xdr:to>
      <xdr:col>21</xdr:col>
      <xdr:colOff>206375</xdr:colOff>
      <xdr:row>8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8</xdr:row>
      <xdr:rowOff>333374</xdr:rowOff>
    </xdr:from>
    <xdr:to>
      <xdr:col>21</xdr:col>
      <xdr:colOff>222250</xdr:colOff>
      <xdr:row>28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269873</xdr:colOff>
      <xdr:row>1</xdr:row>
      <xdr:rowOff>70302</xdr:rowOff>
    </xdr:from>
    <xdr:to>
      <xdr:col>16</xdr:col>
      <xdr:colOff>444500</xdr:colOff>
      <xdr:row>11</xdr:row>
      <xdr:rowOff>79374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281215</xdr:colOff>
      <xdr:row>12</xdr:row>
      <xdr:rowOff>13607</xdr:rowOff>
    </xdr:from>
    <xdr:to>
      <xdr:col>16</xdr:col>
      <xdr:colOff>492124</xdr:colOff>
      <xdr:row>31</xdr:row>
      <xdr:rowOff>174625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204108</xdr:colOff>
      <xdr:row>0</xdr:row>
      <xdr:rowOff>315686</xdr:rowOff>
    </xdr:from>
    <xdr:to>
      <xdr:col>16</xdr:col>
      <xdr:colOff>517072</xdr:colOff>
      <xdr:row>13</xdr:row>
      <xdr:rowOff>176892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217716</xdr:colOff>
      <xdr:row>14</xdr:row>
      <xdr:rowOff>84363</xdr:rowOff>
    </xdr:from>
    <xdr:to>
      <xdr:col>16</xdr:col>
      <xdr:colOff>598715</xdr:colOff>
      <xdr:row>32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s://www.ncbi.nlm.nih.gov/pubmed/12826175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1.xml"/><Relationship Id="rId4" Type="http://schemas.openxmlformats.org/officeDocument/2006/relationships/image" Target="../media/image4.emf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2.xml"/><Relationship Id="rId4" Type="http://schemas.openxmlformats.org/officeDocument/2006/relationships/image" Target="../media/image5.emf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AJ78"/>
  <sheetViews>
    <sheetView topLeftCell="A10" zoomScaleNormal="100" workbookViewId="0">
      <selection activeCell="E26" sqref="E26"/>
    </sheetView>
  </sheetViews>
  <sheetFormatPr defaultColWidth="9.140625" defaultRowHeight="15.75" x14ac:dyDescent="0.25"/>
  <cols>
    <col min="1" max="1" width="9.140625" style="3"/>
    <col min="2" max="2" width="19" style="3" bestFit="1" customWidth="1"/>
    <col min="3" max="3" width="51.85546875" style="2" customWidth="1"/>
    <col min="4" max="4" width="18.85546875" style="2" customWidth="1"/>
    <col min="5" max="5" width="18.85546875" style="3" customWidth="1"/>
    <col min="6" max="6" width="13.140625" style="3" bestFit="1" customWidth="1"/>
    <col min="7" max="7" width="9.140625" style="3"/>
    <col min="8" max="8" width="12.5703125" style="3" customWidth="1"/>
    <col min="9" max="9" width="13.140625" style="3" customWidth="1"/>
    <col min="10" max="10" width="12.140625" style="3" customWidth="1"/>
    <col min="11" max="16384" width="9.140625" style="3"/>
  </cols>
  <sheetData>
    <row r="1" spans="1:36" x14ac:dyDescent="0.25">
      <c r="B1" s="190" t="s">
        <v>198</v>
      </c>
      <c r="C1" s="11" t="s">
        <v>199</v>
      </c>
      <c r="D1" s="11"/>
      <c r="E1" s="11"/>
      <c r="F1" s="190">
        <v>3.4</v>
      </c>
    </row>
    <row r="2" spans="1:36" x14ac:dyDescent="0.25">
      <c r="B2" s="190" t="s">
        <v>200</v>
      </c>
      <c r="C2" s="11" t="s">
        <v>201</v>
      </c>
      <c r="D2" s="11"/>
      <c r="E2" s="11"/>
      <c r="F2" s="190">
        <v>22</v>
      </c>
    </row>
    <row r="3" spans="1:36" ht="31.5" x14ac:dyDescent="0.25">
      <c r="B3" s="190" t="s">
        <v>202</v>
      </c>
      <c r="C3" s="11" t="s">
        <v>203</v>
      </c>
      <c r="D3" s="11"/>
      <c r="E3" s="11"/>
      <c r="F3" s="190">
        <v>42.853999999999999</v>
      </c>
    </row>
    <row r="4" spans="1:36" ht="63.75" customHeight="1" x14ac:dyDescent="0.25">
      <c r="B4" s="190" t="s">
        <v>217</v>
      </c>
      <c r="C4" s="11"/>
      <c r="D4" s="11" t="s">
        <v>218</v>
      </c>
      <c r="E4" s="11"/>
      <c r="F4" s="190">
        <f>(((F10/100)^2)*(F3/(1.6215^2)-0.9722*(F9-11.2536)))</f>
        <v>42.668003448857739</v>
      </c>
    </row>
    <row r="5" spans="1:36" ht="31.5" x14ac:dyDescent="0.25">
      <c r="B5" s="190" t="s">
        <v>204</v>
      </c>
      <c r="C5" s="11" t="s">
        <v>205</v>
      </c>
      <c r="D5" s="11"/>
      <c r="E5" s="11"/>
      <c r="F5" s="190">
        <v>3</v>
      </c>
    </row>
    <row r="6" spans="1:36" ht="126" x14ac:dyDescent="0.25">
      <c r="B6" s="191" t="s">
        <v>206</v>
      </c>
      <c r="C6" s="11" t="s">
        <v>207</v>
      </c>
      <c r="D6" s="11" t="s">
        <v>208</v>
      </c>
      <c r="E6" s="11"/>
      <c r="F6" s="191">
        <f>F1 + (F2 * 25.25) / (F5 + 25.25) + (F3 / (1 + 400 * EXP(-0.0086005 * F3 * 25.25)))</f>
        <v>64.414991025253357</v>
      </c>
    </row>
    <row r="7" spans="1:36" x14ac:dyDescent="0.25">
      <c r="B7" s="190" t="s">
        <v>209</v>
      </c>
      <c r="C7" s="11" t="s">
        <v>210</v>
      </c>
      <c r="D7" s="11"/>
      <c r="E7" s="11"/>
      <c r="F7" s="190">
        <v>142</v>
      </c>
    </row>
    <row r="8" spans="1:36" ht="31.5" x14ac:dyDescent="0.25">
      <c r="B8" s="191" t="s">
        <v>211</v>
      </c>
      <c r="C8" s="11" t="s">
        <v>212</v>
      </c>
      <c r="D8" s="11" t="s">
        <v>213</v>
      </c>
      <c r="E8" s="11" t="s">
        <v>213</v>
      </c>
      <c r="F8" s="191">
        <f>LN(F7^2)/(2*11.3*F4)</f>
        <v>1.027863341871799E-2</v>
      </c>
    </row>
    <row r="9" spans="1:36" x14ac:dyDescent="0.25">
      <c r="B9" s="191" t="s">
        <v>215</v>
      </c>
      <c r="C9" s="11" t="s">
        <v>216</v>
      </c>
      <c r="D9" s="11"/>
      <c r="E9" s="11"/>
      <c r="F9" s="191">
        <v>11.5</v>
      </c>
    </row>
    <row r="10" spans="1:36" x14ac:dyDescent="0.25">
      <c r="B10" s="191" t="s">
        <v>90</v>
      </c>
      <c r="C10" s="11" t="s">
        <v>219</v>
      </c>
      <c r="D10" s="11"/>
      <c r="E10" s="11"/>
      <c r="F10" s="191">
        <v>163</v>
      </c>
    </row>
    <row r="12" spans="1:36" ht="30" customHeight="1" x14ac:dyDescent="0.25">
      <c r="B12" s="311" t="s">
        <v>14</v>
      </c>
      <c r="C12" s="312"/>
      <c r="D12" s="312"/>
      <c r="E12" s="313"/>
      <c r="H12" s="309" t="s">
        <v>15</v>
      </c>
      <c r="I12" s="307" t="s">
        <v>267</v>
      </c>
      <c r="J12" s="307" t="s">
        <v>268</v>
      </c>
    </row>
    <row r="13" spans="1:36" ht="30" customHeight="1" x14ac:dyDescent="0.25">
      <c r="B13" s="192" t="s">
        <v>15</v>
      </c>
      <c r="C13" s="192" t="s">
        <v>16</v>
      </c>
      <c r="D13" s="192" t="s">
        <v>15</v>
      </c>
      <c r="E13" s="192" t="s">
        <v>214</v>
      </c>
      <c r="H13" s="310"/>
      <c r="I13" s="308"/>
      <c r="J13" s="308"/>
    </row>
    <row r="14" spans="1:36" s="118" customFormat="1" ht="47.25" x14ac:dyDescent="0.25">
      <c r="A14" s="3"/>
      <c r="B14" s="193">
        <v>0.5</v>
      </c>
      <c r="C14" s="135" t="s">
        <v>221</v>
      </c>
      <c r="D14" s="193">
        <f>B14</f>
        <v>0.5</v>
      </c>
      <c r="E14" s="194">
        <f>3.4 + (22 * D14) / (3 + D14) + (42.854 / (1 + 142.11536 * EXP(-0.010278634 * 42.854 * D14)))</f>
        <v>6.9154266062882783</v>
      </c>
      <c r="F14" s="3"/>
      <c r="G14" s="3"/>
      <c r="H14" s="46" t="s">
        <v>269</v>
      </c>
      <c r="I14" s="4">
        <v>6.9154266062882783</v>
      </c>
      <c r="J14" s="195"/>
      <c r="K14" s="3"/>
      <c r="L14" s="2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18" customFormat="1" x14ac:dyDescent="0.25">
      <c r="A15" s="3"/>
      <c r="B15" s="196">
        <v>1</v>
      </c>
      <c r="C15" s="166"/>
      <c r="D15" s="196">
        <f t="shared" ref="D15:D40" si="0">B15</f>
        <v>1</v>
      </c>
      <c r="E15" s="197">
        <f t="shared" ref="E15:E39" si="1">3.4 + (22 * D15) / (3 + D15) + (42.854 / (1 + 142.11536 * EXP(-0.010278634 * 42.854 * D15)))</f>
        <v>9.363369181598614</v>
      </c>
      <c r="F15" s="3"/>
      <c r="G15" s="3"/>
      <c r="H15" s="198" t="s">
        <v>270</v>
      </c>
      <c r="I15" s="4">
        <v>11.309331187867842</v>
      </c>
      <c r="J15" s="195"/>
      <c r="K15" s="3"/>
      <c r="L15" s="2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18" customFormat="1" x14ac:dyDescent="0.25">
      <c r="A16" s="3"/>
      <c r="B16" s="196">
        <v>1.5</v>
      </c>
      <c r="C16" s="166"/>
      <c r="D16" s="196">
        <f t="shared" si="0"/>
        <v>1.5</v>
      </c>
      <c r="E16" s="197">
        <f t="shared" ref="E16" si="2">3.4 + (22 * D16) / (3 + D16) + (42.854 / (1 + 142.11536 * EXP(-0.010278634 * 42.854 * D16)))</f>
        <v>11.309331187867842</v>
      </c>
      <c r="F16" s="3"/>
      <c r="G16" s="3"/>
      <c r="H16" s="198"/>
      <c r="I16" s="4"/>
      <c r="J16" s="195"/>
      <c r="K16" s="3"/>
      <c r="L16" s="2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18" customFormat="1" x14ac:dyDescent="0.25">
      <c r="A17" s="3"/>
      <c r="B17" s="196">
        <v>1.9</v>
      </c>
      <c r="C17" s="166"/>
      <c r="D17" s="196">
        <f t="shared" ref="D17" si="3">B17</f>
        <v>1.9</v>
      </c>
      <c r="E17" s="197">
        <f t="shared" ref="E17" si="4">3.4 + (22 * D17) / (3 + D17) + (42.854 / (1 + 142.11536 * EXP(-0.010278634 * 42.854 * D17)))</f>
        <v>12.615811642266737</v>
      </c>
      <c r="F17" s="3"/>
      <c r="G17" s="3"/>
      <c r="H17" s="198"/>
      <c r="I17" s="4"/>
      <c r="J17" s="195"/>
      <c r="K17" s="3"/>
      <c r="L17" s="2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x14ac:dyDescent="0.25">
      <c r="B18" s="196">
        <v>2</v>
      </c>
      <c r="C18" s="166"/>
      <c r="D18" s="196">
        <f t="shared" si="0"/>
        <v>2</v>
      </c>
      <c r="E18" s="197">
        <f t="shared" si="1"/>
        <v>12.915540478557535</v>
      </c>
      <c r="H18" s="198" t="s">
        <v>271</v>
      </c>
      <c r="I18" s="4">
        <v>14.288178836856385</v>
      </c>
      <c r="J18" s="195">
        <v>13.7</v>
      </c>
      <c r="L18" s="23"/>
    </row>
    <row r="19" spans="1:36" x14ac:dyDescent="0.25">
      <c r="B19" s="196">
        <v>3</v>
      </c>
      <c r="C19" s="166"/>
      <c r="D19" s="196">
        <f t="shared" si="0"/>
        <v>3</v>
      </c>
      <c r="E19" s="197">
        <f t="shared" si="1"/>
        <v>15.501380951815555</v>
      </c>
      <c r="H19" s="198" t="s">
        <v>272</v>
      </c>
      <c r="I19" s="4">
        <v>16.610251292594278</v>
      </c>
      <c r="J19" s="195">
        <v>15.6</v>
      </c>
      <c r="L19" s="23"/>
    </row>
    <row r="20" spans="1:36" x14ac:dyDescent="0.25">
      <c r="B20" s="199">
        <v>4</v>
      </c>
      <c r="C20" s="29"/>
      <c r="D20" s="199">
        <f t="shared" si="0"/>
        <v>4</v>
      </c>
      <c r="E20" s="200">
        <f t="shared" si="1"/>
        <v>17.658377304122929</v>
      </c>
      <c r="H20" s="198" t="s">
        <v>273</v>
      </c>
      <c r="I20" s="4">
        <v>18.682376582644302</v>
      </c>
      <c r="J20" s="195">
        <v>17.8</v>
      </c>
      <c r="L20" s="23"/>
    </row>
    <row r="21" spans="1:36" x14ac:dyDescent="0.25">
      <c r="B21" s="196">
        <v>4.5</v>
      </c>
      <c r="C21" s="166"/>
      <c r="D21" s="196">
        <f t="shared" ref="D21" si="5">B21</f>
        <v>4.5</v>
      </c>
      <c r="E21" s="197">
        <f t="shared" ref="E21" si="6">3.4 + (22 * D21) / (3 + D21) + (42.854 / (1 + 142.11536 * EXP(-0.010278634 * 42.854 * D21)))</f>
        <v>18.682376582644302</v>
      </c>
      <c r="H21" s="198"/>
      <c r="I21" s="4"/>
      <c r="J21" s="195"/>
      <c r="L21" s="23"/>
    </row>
    <row r="22" spans="1:36" s="118" customFormat="1" x14ac:dyDescent="0.25">
      <c r="A22" s="3"/>
      <c r="B22" s="196">
        <v>5</v>
      </c>
      <c r="C22" s="166"/>
      <c r="D22" s="196">
        <f t="shared" si="0"/>
        <v>5</v>
      </c>
      <c r="E22" s="197">
        <f t="shared" si="1"/>
        <v>19.714719765531608</v>
      </c>
      <c r="F22" s="3"/>
      <c r="G22" s="3"/>
      <c r="H22" s="198" t="s">
        <v>274</v>
      </c>
      <c r="I22" s="4">
        <v>20.785450437307787</v>
      </c>
      <c r="J22" s="195">
        <v>20.5</v>
      </c>
      <c r="K22" s="3"/>
      <c r="L22" s="2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x14ac:dyDescent="0.25">
      <c r="B23" s="199">
        <v>6</v>
      </c>
      <c r="C23" s="29"/>
      <c r="D23" s="199">
        <f t="shared" si="0"/>
        <v>6</v>
      </c>
      <c r="E23" s="200">
        <f t="shared" si="1"/>
        <v>21.92310304640738</v>
      </c>
      <c r="H23" s="198" t="s">
        <v>275</v>
      </c>
      <c r="I23" s="4">
        <v>23.154945076267232</v>
      </c>
      <c r="J23" s="195">
        <v>22.15</v>
      </c>
      <c r="L23" s="23"/>
    </row>
    <row r="24" spans="1:36" x14ac:dyDescent="0.25">
      <c r="B24" s="199">
        <v>7</v>
      </c>
      <c r="C24" s="29"/>
      <c r="D24" s="199">
        <f t="shared" si="0"/>
        <v>7</v>
      </c>
      <c r="E24" s="200">
        <f t="shared" si="1"/>
        <v>24.506576900677818</v>
      </c>
      <c r="H24" s="198" t="s">
        <v>276</v>
      </c>
      <c r="I24" s="4">
        <v>26.000889857451373</v>
      </c>
      <c r="J24" s="195">
        <v>26.8</v>
      </c>
      <c r="L24" s="23"/>
    </row>
    <row r="25" spans="1:36" x14ac:dyDescent="0.25">
      <c r="B25" s="199">
        <v>8</v>
      </c>
      <c r="C25" s="29"/>
      <c r="D25" s="199">
        <f t="shared" si="0"/>
        <v>8</v>
      </c>
      <c r="E25" s="200">
        <f t="shared" si="1"/>
        <v>27.656407916528913</v>
      </c>
      <c r="H25" s="198" t="s">
        <v>277</v>
      </c>
      <c r="I25" s="4">
        <v>29.485124650497674</v>
      </c>
      <c r="J25" s="195">
        <v>29.9</v>
      </c>
      <c r="L25" s="23"/>
    </row>
    <row r="26" spans="1:36" x14ac:dyDescent="0.25">
      <c r="B26" s="199">
        <v>9</v>
      </c>
      <c r="C26" s="29"/>
      <c r="D26" s="199">
        <f t="shared" si="0"/>
        <v>9</v>
      </c>
      <c r="E26" s="200">
        <f t="shared" si="1"/>
        <v>31.490090721081462</v>
      </c>
      <c r="H26" s="198" t="s">
        <v>278</v>
      </c>
      <c r="I26" s="4">
        <v>33.663180306011462</v>
      </c>
      <c r="J26" s="195">
        <v>35.9</v>
      </c>
      <c r="L26" s="23"/>
    </row>
    <row r="27" spans="1:36" s="118" customFormat="1" x14ac:dyDescent="0.25">
      <c r="A27" s="3"/>
      <c r="B27" s="199">
        <v>10</v>
      </c>
      <c r="C27" s="29"/>
      <c r="D27" s="199">
        <f t="shared" si="0"/>
        <v>10</v>
      </c>
      <c r="E27" s="200">
        <f t="shared" si="1"/>
        <v>35.983607211042894</v>
      </c>
      <c r="F27" s="3"/>
      <c r="G27" s="3"/>
      <c r="H27" s="198" t="s">
        <v>279</v>
      </c>
      <c r="I27" s="4">
        <v>38.417786492455321</v>
      </c>
      <c r="J27" s="195">
        <v>43.4</v>
      </c>
      <c r="K27" s="3"/>
      <c r="L27" s="2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18" customFormat="1" x14ac:dyDescent="0.25">
      <c r="A28" s="3"/>
      <c r="B28" s="196">
        <v>10.3</v>
      </c>
      <c r="C28" s="166"/>
      <c r="D28" s="196">
        <f t="shared" ref="D28" si="7">B28</f>
        <v>10.3</v>
      </c>
      <c r="E28" s="197">
        <f t="shared" ref="E28" si="8">3.4 + (22 * D28) / (3 + D28) + (42.854 / (1 + 142.11536 * EXP(-0.010278634 * 42.854 * D28)))</f>
        <v>37.433110706393123</v>
      </c>
      <c r="F28" s="3"/>
      <c r="G28" s="3"/>
      <c r="H28" s="198"/>
      <c r="I28" s="4"/>
      <c r="J28" s="195"/>
      <c r="K28" s="3"/>
      <c r="L28" s="2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x14ac:dyDescent="0.25">
      <c r="B29" s="199">
        <v>11</v>
      </c>
      <c r="C29" s="29"/>
      <c r="D29" s="199">
        <f t="shared" si="0"/>
        <v>11</v>
      </c>
      <c r="E29" s="200">
        <f t="shared" si="1"/>
        <v>40.920968011983341</v>
      </c>
      <c r="H29" s="198" t="s">
        <v>280</v>
      </c>
      <c r="I29" s="4">
        <v>43.440691530917817</v>
      </c>
      <c r="J29" s="195">
        <v>49.4</v>
      </c>
    </row>
    <row r="30" spans="1:36" x14ac:dyDescent="0.25">
      <c r="B30" s="196">
        <v>12</v>
      </c>
      <c r="C30" s="166"/>
      <c r="D30" s="196">
        <f t="shared" si="0"/>
        <v>12</v>
      </c>
      <c r="E30" s="197">
        <f t="shared" si="1"/>
        <v>45.921621798727614</v>
      </c>
      <c r="H30" s="198" t="s">
        <v>281</v>
      </c>
      <c r="I30" s="4">
        <v>48.31089938644034</v>
      </c>
      <c r="J30" s="195">
        <v>50.45</v>
      </c>
    </row>
    <row r="31" spans="1:36" x14ac:dyDescent="0.25">
      <c r="B31" s="196">
        <v>13</v>
      </c>
      <c r="C31" s="166"/>
      <c r="D31" s="196">
        <f t="shared" si="0"/>
        <v>13</v>
      </c>
      <c r="E31" s="197">
        <f t="shared" si="1"/>
        <v>50.562974255063295</v>
      </c>
      <c r="H31" s="198" t="s">
        <v>282</v>
      </c>
      <c r="I31" s="4">
        <v>52.643053336574667</v>
      </c>
      <c r="J31" s="195">
        <v>54.2</v>
      </c>
    </row>
    <row r="32" spans="1:36" x14ac:dyDescent="0.25">
      <c r="B32" s="199">
        <v>14</v>
      </c>
      <c r="C32" s="29"/>
      <c r="D32" s="199">
        <f t="shared" si="0"/>
        <v>14</v>
      </c>
      <c r="E32" s="200">
        <f t="shared" si="1"/>
        <v>54.528713185550821</v>
      </c>
      <c r="H32" s="198" t="s">
        <v>283</v>
      </c>
      <c r="I32" s="4">
        <v>56.20971903544342</v>
      </c>
      <c r="J32" s="195">
        <v>54.55</v>
      </c>
    </row>
    <row r="33" spans="1:36" x14ac:dyDescent="0.25">
      <c r="B33" s="196">
        <v>15</v>
      </c>
      <c r="C33" s="166"/>
      <c r="D33" s="196">
        <f t="shared" si="0"/>
        <v>15</v>
      </c>
      <c r="E33" s="197">
        <f t="shared" si="1"/>
        <v>57.686468800180961</v>
      </c>
      <c r="H33" s="198" t="s">
        <v>284</v>
      </c>
      <c r="I33" s="4">
        <v>58.967650155819811</v>
      </c>
      <c r="J33" s="195">
        <v>59.6</v>
      </c>
    </row>
    <row r="34" spans="1:36" x14ac:dyDescent="0.25">
      <c r="B34" s="199">
        <v>16</v>
      </c>
      <c r="C34" s="29"/>
      <c r="D34" s="199">
        <f t="shared" si="0"/>
        <v>16</v>
      </c>
      <c r="E34" s="200">
        <f t="shared" si="1"/>
        <v>60.067672365756145</v>
      </c>
      <c r="H34" s="198" t="s">
        <v>285</v>
      </c>
      <c r="I34" s="4">
        <v>61.004288259289723</v>
      </c>
      <c r="J34" s="195">
        <v>58.6</v>
      </c>
    </row>
    <row r="35" spans="1:36" x14ac:dyDescent="0.25">
      <c r="B35" s="199">
        <v>17</v>
      </c>
      <c r="C35" s="29"/>
      <c r="D35" s="199">
        <f t="shared" si="0"/>
        <v>17</v>
      </c>
      <c r="E35" s="200">
        <f t="shared" si="1"/>
        <v>61.796641311133001</v>
      </c>
      <c r="H35" s="198" t="s">
        <v>286</v>
      </c>
      <c r="I35" s="4">
        <v>62.463817521092977</v>
      </c>
      <c r="J35" s="195">
        <v>62.9</v>
      </c>
    </row>
    <row r="36" spans="1:36" x14ac:dyDescent="0.25">
      <c r="B36" s="199">
        <v>18</v>
      </c>
      <c r="C36" s="29"/>
      <c r="D36" s="199">
        <f t="shared" si="0"/>
        <v>18</v>
      </c>
      <c r="E36" s="200">
        <f t="shared" si="1"/>
        <v>63.023876884237708</v>
      </c>
      <c r="H36" s="198" t="s">
        <v>287</v>
      </c>
      <c r="I36" s="4">
        <v>63.493284387505163</v>
      </c>
      <c r="J36" s="195">
        <v>63.2</v>
      </c>
    </row>
    <row r="37" spans="1:36" x14ac:dyDescent="0.25">
      <c r="B37" s="196">
        <v>19</v>
      </c>
      <c r="C37" s="166"/>
      <c r="D37" s="196">
        <f t="shared" si="0"/>
        <v>19</v>
      </c>
      <c r="E37" s="197">
        <f t="shared" si="1"/>
        <v>63.886643111966308</v>
      </c>
      <c r="H37" s="198" t="s">
        <v>288</v>
      </c>
      <c r="I37" s="4">
        <v>64.21663731687326</v>
      </c>
      <c r="J37" s="195">
        <v>64.5</v>
      </c>
    </row>
    <row r="38" spans="1:36" x14ac:dyDescent="0.25">
      <c r="B38" s="196">
        <v>20</v>
      </c>
      <c r="C38" s="166"/>
      <c r="D38" s="196">
        <f t="shared" si="0"/>
        <v>20</v>
      </c>
      <c r="E38" s="197">
        <f t="shared" si="1"/>
        <v>64.494109284869964</v>
      </c>
      <c r="H38" s="198" t="s">
        <v>289</v>
      </c>
      <c r="I38" s="4">
        <v>64.728212344405605</v>
      </c>
      <c r="J38" s="195">
        <v>67.7</v>
      </c>
    </row>
    <row r="39" spans="1:36" x14ac:dyDescent="0.25">
      <c r="B39" s="199">
        <v>21</v>
      </c>
      <c r="C39" s="29"/>
      <c r="D39" s="199">
        <f t="shared" si="0"/>
        <v>21</v>
      </c>
      <c r="E39" s="200">
        <f t="shared" si="1"/>
        <v>64.926599621061627</v>
      </c>
      <c r="H39" s="198" t="s">
        <v>290</v>
      </c>
      <c r="I39" s="4">
        <v>65.095621974779874</v>
      </c>
      <c r="J39" s="195">
        <v>62</v>
      </c>
    </row>
    <row r="40" spans="1:36" ht="47.25" x14ac:dyDescent="0.25">
      <c r="B40" s="199">
        <v>22</v>
      </c>
      <c r="C40" s="28" t="s">
        <v>220</v>
      </c>
      <c r="D40" s="199">
        <f t="shared" si="0"/>
        <v>22</v>
      </c>
      <c r="E40" s="200">
        <f>3.4 + (22 * 22.333) / (3 + 22.333) + (42.854 / (1 + 142.11536 * EXP(-0.010278634 * 42.854 * 22.333)))</f>
        <v>65.325791514810419</v>
      </c>
      <c r="H40" s="198" t="s">
        <v>291</v>
      </c>
      <c r="I40" s="4">
        <v>65.365594049919366</v>
      </c>
      <c r="J40" s="195">
        <v>65.099999999999994</v>
      </c>
    </row>
    <row r="41" spans="1:36" ht="47.25" x14ac:dyDescent="0.25">
      <c r="B41" s="199">
        <v>23</v>
      </c>
      <c r="C41" s="28" t="s">
        <v>222</v>
      </c>
      <c r="D41" s="29">
        <f>B41*12</f>
        <v>276</v>
      </c>
      <c r="E41" s="200">
        <f>((6.17*10^-9*D41^3)-(9.68*10^-5*D41^2)+(0.109*D41)+43.79)*64.41499103/66.17</f>
        <v>64.862678463153841</v>
      </c>
      <c r="H41" s="198" t="s">
        <v>292</v>
      </c>
      <c r="I41" s="4">
        <v>65.192257910429959</v>
      </c>
      <c r="J41" s="195">
        <v>68.599999999999994</v>
      </c>
    </row>
    <row r="42" spans="1:36" x14ac:dyDescent="0.25">
      <c r="B42" s="199">
        <v>24</v>
      </c>
      <c r="C42" s="29"/>
      <c r="D42" s="29">
        <f t="shared" ref="D42:D78" si="9">B42*12</f>
        <v>288</v>
      </c>
      <c r="E42" s="200">
        <f t="shared" ref="E42:E78" si="10">((6.17*10^-9*D42^3)-(9.68*10^-5*D42^2)+(0.109*D42)+43.79)*64.41499103/66.17</f>
        <v>65.515418469598629</v>
      </c>
      <c r="H42" s="198" t="s">
        <v>293</v>
      </c>
      <c r="I42" s="4">
        <v>65.832167924895558</v>
      </c>
      <c r="J42" s="195">
        <v>70.45</v>
      </c>
    </row>
    <row r="43" spans="1:36" s="118" customFormat="1" x14ac:dyDescent="0.25">
      <c r="A43" s="3"/>
      <c r="B43" s="196">
        <v>25</v>
      </c>
      <c r="C43" s="166"/>
      <c r="D43" s="166">
        <f t="shared" si="9"/>
        <v>300</v>
      </c>
      <c r="E43" s="197">
        <f t="shared" si="10"/>
        <v>66.142514060556564</v>
      </c>
      <c r="F43" s="3"/>
      <c r="G43" s="3"/>
      <c r="H43" s="198" t="s">
        <v>294</v>
      </c>
      <c r="I43" s="4">
        <v>66.446464660817369</v>
      </c>
      <c r="J43" s="195">
        <v>61.2</v>
      </c>
      <c r="K43" s="3"/>
      <c r="L43" s="2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x14ac:dyDescent="0.25">
      <c r="B44" s="199">
        <v>26</v>
      </c>
      <c r="C44" s="29"/>
      <c r="D44" s="29">
        <f t="shared" si="9"/>
        <v>312</v>
      </c>
      <c r="E44" s="200">
        <f t="shared" si="10"/>
        <v>66.74402750991382</v>
      </c>
      <c r="H44" s="198" t="s">
        <v>295</v>
      </c>
      <c r="I44" s="4">
        <v>67.035210392081638</v>
      </c>
      <c r="J44" s="195">
        <v>67.5</v>
      </c>
    </row>
    <row r="45" spans="1:36" x14ac:dyDescent="0.25">
      <c r="B45" s="199">
        <v>27</v>
      </c>
      <c r="C45" s="29"/>
      <c r="D45" s="29">
        <f t="shared" si="9"/>
        <v>324</v>
      </c>
      <c r="E45" s="200">
        <f t="shared" si="10"/>
        <v>67.320021091556598</v>
      </c>
      <c r="H45" s="198" t="s">
        <v>296</v>
      </c>
      <c r="I45" s="4">
        <v>67.598467392574491</v>
      </c>
      <c r="J45" s="195">
        <v>69.55</v>
      </c>
    </row>
    <row r="46" spans="1:36" x14ac:dyDescent="0.25">
      <c r="B46" s="199">
        <v>28</v>
      </c>
      <c r="C46" s="29"/>
      <c r="D46" s="29">
        <f t="shared" si="9"/>
        <v>336</v>
      </c>
      <c r="E46" s="200">
        <f t="shared" si="10"/>
        <v>67.870557079371082</v>
      </c>
      <c r="H46" s="198" t="s">
        <v>297</v>
      </c>
      <c r="I46" s="4">
        <v>68.136297936182117</v>
      </c>
      <c r="J46" s="195">
        <v>81</v>
      </c>
    </row>
    <row r="47" spans="1:36" x14ac:dyDescent="0.25">
      <c r="B47" s="199">
        <v>29</v>
      </c>
      <c r="C47" s="29"/>
      <c r="D47" s="29">
        <f t="shared" si="9"/>
        <v>348</v>
      </c>
      <c r="E47" s="200">
        <f t="shared" si="10"/>
        <v>68.395697747243432</v>
      </c>
      <c r="H47" s="198" t="s">
        <v>298</v>
      </c>
      <c r="I47" s="4">
        <v>68.648764296790745</v>
      </c>
      <c r="J47" s="195">
        <v>71.05</v>
      </c>
    </row>
    <row r="48" spans="1:36" x14ac:dyDescent="0.25">
      <c r="B48" s="199">
        <v>30</v>
      </c>
      <c r="C48" s="29"/>
      <c r="D48" s="29">
        <f t="shared" si="9"/>
        <v>360</v>
      </c>
      <c r="E48" s="200">
        <f t="shared" si="10"/>
        <v>68.895505369059833</v>
      </c>
      <c r="H48" s="198" t="s">
        <v>299</v>
      </c>
      <c r="I48" s="4">
        <v>69.135928748286503</v>
      </c>
      <c r="J48" s="195">
        <v>75.349999999999994</v>
      </c>
    </row>
    <row r="49" spans="2:10" x14ac:dyDescent="0.25">
      <c r="B49" s="199">
        <v>31</v>
      </c>
      <c r="C49" s="29"/>
      <c r="D49" s="29">
        <f t="shared" si="9"/>
        <v>372</v>
      </c>
      <c r="E49" s="200">
        <f t="shared" si="10"/>
        <v>69.370042218706487</v>
      </c>
      <c r="H49" s="198" t="s">
        <v>300</v>
      </c>
      <c r="I49" s="4">
        <v>69.597853564555564</v>
      </c>
      <c r="J49" s="195">
        <v>74.5</v>
      </c>
    </row>
    <row r="50" spans="2:10" x14ac:dyDescent="0.25">
      <c r="B50" s="199">
        <v>32</v>
      </c>
      <c r="C50" s="29"/>
      <c r="D50" s="29">
        <f t="shared" si="9"/>
        <v>384</v>
      </c>
      <c r="E50" s="200">
        <f t="shared" si="10"/>
        <v>69.819370570069538</v>
      </c>
      <c r="H50" s="198" t="s">
        <v>301</v>
      </c>
      <c r="I50" s="4">
        <v>70.034601019484171</v>
      </c>
      <c r="J50" s="195">
        <v>74.099999999999994</v>
      </c>
    </row>
    <row r="51" spans="2:10" x14ac:dyDescent="0.25">
      <c r="B51" s="199">
        <v>33</v>
      </c>
      <c r="C51" s="29"/>
      <c r="D51" s="29">
        <f t="shared" si="9"/>
        <v>396</v>
      </c>
      <c r="E51" s="200">
        <f t="shared" si="10"/>
        <v>70.243552697035199</v>
      </c>
      <c r="H51" s="198" t="s">
        <v>302</v>
      </c>
      <c r="I51" s="4">
        <v>70.446233386958426</v>
      </c>
      <c r="J51" s="195">
        <v>73.900000000000006</v>
      </c>
    </row>
    <row r="52" spans="2:10" x14ac:dyDescent="0.25">
      <c r="B52" s="199">
        <v>34</v>
      </c>
      <c r="C52" s="29"/>
      <c r="D52" s="29">
        <f t="shared" si="9"/>
        <v>408</v>
      </c>
      <c r="E52" s="200">
        <f t="shared" si="10"/>
        <v>70.642650873489643</v>
      </c>
      <c r="H52" s="198" t="s">
        <v>303</v>
      </c>
      <c r="I52" s="4">
        <v>70.832812940864571</v>
      </c>
      <c r="J52" s="195">
        <v>71</v>
      </c>
    </row>
    <row r="53" spans="2:10" x14ac:dyDescent="0.25">
      <c r="B53" s="199">
        <v>35</v>
      </c>
      <c r="C53" s="29"/>
      <c r="D53" s="29">
        <f t="shared" si="9"/>
        <v>420</v>
      </c>
      <c r="E53" s="200">
        <f t="shared" si="10"/>
        <v>71.016727373319043</v>
      </c>
      <c r="H53" s="198" t="s">
        <v>304</v>
      </c>
      <c r="I53" s="4">
        <v>71.194401955088779</v>
      </c>
      <c r="J53" s="195">
        <v>75.5</v>
      </c>
    </row>
    <row r="54" spans="2:10" x14ac:dyDescent="0.25">
      <c r="B54" s="199">
        <v>36</v>
      </c>
      <c r="C54" s="29"/>
      <c r="D54" s="29">
        <f t="shared" si="9"/>
        <v>432</v>
      </c>
      <c r="E54" s="200">
        <f t="shared" si="10"/>
        <v>71.365844470409584</v>
      </c>
      <c r="H54" s="198" t="s">
        <v>305</v>
      </c>
      <c r="I54" s="4">
        <v>71.531062703517208</v>
      </c>
      <c r="J54" s="195">
        <v>75.45</v>
      </c>
    </row>
    <row r="55" spans="2:10" x14ac:dyDescent="0.25">
      <c r="B55" s="199">
        <v>37</v>
      </c>
      <c r="C55" s="29"/>
      <c r="D55" s="29">
        <f t="shared" si="9"/>
        <v>444</v>
      </c>
      <c r="E55" s="200">
        <f t="shared" si="10"/>
        <v>71.69006443864744</v>
      </c>
      <c r="H55" s="198" t="s">
        <v>306</v>
      </c>
      <c r="I55" s="4">
        <v>71.842857460036043</v>
      </c>
      <c r="J55" s="195">
        <v>66.55</v>
      </c>
    </row>
    <row r="56" spans="2:10" x14ac:dyDescent="0.25">
      <c r="B56" s="199">
        <v>38</v>
      </c>
      <c r="C56" s="29"/>
      <c r="D56" s="29">
        <f t="shared" si="9"/>
        <v>456</v>
      </c>
      <c r="E56" s="200">
        <f t="shared" si="10"/>
        <v>71.98944955191881</v>
      </c>
      <c r="H56" s="198" t="s">
        <v>307</v>
      </c>
      <c r="I56" s="4">
        <v>72.129848498531473</v>
      </c>
      <c r="J56" s="195">
        <v>76.650000000000006</v>
      </c>
    </row>
    <row r="57" spans="2:10" x14ac:dyDescent="0.25">
      <c r="B57" s="199">
        <v>39</v>
      </c>
      <c r="C57" s="29"/>
      <c r="D57" s="29">
        <f t="shared" si="9"/>
        <v>468</v>
      </c>
      <c r="E57" s="200">
        <f t="shared" si="10"/>
        <v>72.264062084109852</v>
      </c>
      <c r="H57" s="198" t="s">
        <v>308</v>
      </c>
      <c r="I57" s="4">
        <v>72.392098092889682</v>
      </c>
      <c r="J57" s="195">
        <v>71.55</v>
      </c>
    </row>
    <row r="58" spans="2:10" x14ac:dyDescent="0.25">
      <c r="B58" s="199">
        <v>40</v>
      </c>
      <c r="C58" s="29"/>
      <c r="D58" s="29">
        <f t="shared" si="9"/>
        <v>480</v>
      </c>
      <c r="E58" s="200">
        <f t="shared" si="10"/>
        <v>72.513964309106768</v>
      </c>
      <c r="H58" s="198" t="s">
        <v>309</v>
      </c>
      <c r="I58" s="4">
        <v>72.629668516996844</v>
      </c>
      <c r="J58" s="195">
        <v>74.7</v>
      </c>
    </row>
    <row r="59" spans="2:10" x14ac:dyDescent="0.25">
      <c r="B59" s="199">
        <v>41</v>
      </c>
      <c r="C59" s="29"/>
      <c r="D59" s="29">
        <f t="shared" si="9"/>
        <v>492</v>
      </c>
      <c r="E59" s="200">
        <f t="shared" si="10"/>
        <v>72.739218500795715</v>
      </c>
      <c r="H59" s="198" t="s">
        <v>310</v>
      </c>
      <c r="I59" s="4">
        <v>72.842622044739144</v>
      </c>
      <c r="J59" s="195">
        <v>73</v>
      </c>
    </row>
    <row r="60" spans="2:10" x14ac:dyDescent="0.25">
      <c r="B60" s="199">
        <v>42</v>
      </c>
      <c r="C60" s="29"/>
      <c r="D60" s="29">
        <f t="shared" si="9"/>
        <v>504</v>
      </c>
      <c r="E60" s="200">
        <f t="shared" si="10"/>
        <v>72.939886933062908</v>
      </c>
      <c r="H60" s="198" t="s">
        <v>311</v>
      </c>
      <c r="I60" s="4">
        <v>73.031020950002755</v>
      </c>
      <c r="J60" s="195">
        <v>72.099999999999994</v>
      </c>
    </row>
    <row r="61" spans="2:10" x14ac:dyDescent="0.25">
      <c r="B61" s="199">
        <v>43</v>
      </c>
      <c r="C61" s="29"/>
      <c r="D61" s="29">
        <f t="shared" si="9"/>
        <v>516</v>
      </c>
      <c r="E61" s="200">
        <f t="shared" si="10"/>
        <v>73.116031879794505</v>
      </c>
      <c r="H61" s="198" t="s">
        <v>312</v>
      </c>
      <c r="I61" s="4">
        <v>73.194927506673878</v>
      </c>
      <c r="J61" s="195">
        <v>75.05</v>
      </c>
    </row>
    <row r="62" spans="2:10" x14ac:dyDescent="0.25">
      <c r="B62" s="199">
        <v>44</v>
      </c>
      <c r="C62" s="29"/>
      <c r="D62" s="29">
        <f t="shared" si="9"/>
        <v>528</v>
      </c>
      <c r="E62" s="200">
        <f t="shared" si="10"/>
        <v>73.267715614876678</v>
      </c>
      <c r="H62" s="198" t="s">
        <v>313</v>
      </c>
      <c r="I62" s="4">
        <v>73.33440398863867</v>
      </c>
      <c r="J62" s="195">
        <v>76.900000000000006</v>
      </c>
    </row>
    <row r="63" spans="2:10" x14ac:dyDescent="0.25">
      <c r="B63" s="199">
        <v>45</v>
      </c>
      <c r="C63" s="29"/>
      <c r="D63" s="29">
        <f t="shared" si="9"/>
        <v>540</v>
      </c>
      <c r="E63" s="200">
        <f t="shared" si="10"/>
        <v>73.395000412195614</v>
      </c>
      <c r="H63" s="198" t="s">
        <v>314</v>
      </c>
      <c r="I63" s="4">
        <v>73.449512669783303</v>
      </c>
      <c r="J63" s="195">
        <v>80.75</v>
      </c>
    </row>
    <row r="64" spans="2:10" x14ac:dyDescent="0.25">
      <c r="B64" s="199">
        <v>46</v>
      </c>
      <c r="C64" s="29"/>
      <c r="D64" s="29">
        <f t="shared" si="9"/>
        <v>552</v>
      </c>
      <c r="E64" s="200">
        <f t="shared" si="10"/>
        <v>73.497948545637499</v>
      </c>
      <c r="H64" s="198" t="s">
        <v>315</v>
      </c>
      <c r="I64" s="4">
        <v>73.540315823993993</v>
      </c>
      <c r="J64" s="195">
        <v>81.05</v>
      </c>
    </row>
    <row r="65" spans="1:36" x14ac:dyDescent="0.25">
      <c r="B65" s="199">
        <v>47</v>
      </c>
      <c r="C65" s="29"/>
      <c r="D65" s="29">
        <f t="shared" si="9"/>
        <v>564</v>
      </c>
      <c r="E65" s="200">
        <f t="shared" si="10"/>
        <v>73.576622289088533</v>
      </c>
      <c r="H65" s="198" t="s">
        <v>316</v>
      </c>
      <c r="I65" s="4">
        <v>73.606875725156897</v>
      </c>
      <c r="J65" s="195">
        <v>71.25</v>
      </c>
    </row>
    <row r="66" spans="1:36" x14ac:dyDescent="0.25">
      <c r="B66" s="199">
        <v>48</v>
      </c>
      <c r="C66" s="29"/>
      <c r="D66" s="29">
        <f t="shared" si="9"/>
        <v>576</v>
      </c>
      <c r="E66" s="200">
        <f t="shared" si="10"/>
        <v>73.631083916434861</v>
      </c>
      <c r="H66" s="198" t="s">
        <v>317</v>
      </c>
      <c r="I66" s="4">
        <v>73.649254647158202</v>
      </c>
      <c r="J66" s="195">
        <v>76.3</v>
      </c>
    </row>
    <row r="67" spans="1:36" x14ac:dyDescent="0.25">
      <c r="B67" s="196">
        <v>49</v>
      </c>
      <c r="C67" s="166"/>
      <c r="D67" s="166">
        <f t="shared" si="9"/>
        <v>588</v>
      </c>
      <c r="E67" s="197">
        <f t="shared" si="10"/>
        <v>73.661395701562682</v>
      </c>
      <c r="H67" s="198" t="s">
        <v>318</v>
      </c>
      <c r="I67" s="4">
        <v>73.66751486388408</v>
      </c>
      <c r="J67" s="195">
        <v>77.7</v>
      </c>
    </row>
    <row r="68" spans="1:36" x14ac:dyDescent="0.25">
      <c r="B68" s="196">
        <v>50</v>
      </c>
      <c r="C68" s="166"/>
      <c r="D68" s="166">
        <f t="shared" si="9"/>
        <v>600</v>
      </c>
      <c r="E68" s="197">
        <f t="shared" si="10"/>
        <v>73.667619918358184</v>
      </c>
      <c r="H68" s="198" t="s">
        <v>319</v>
      </c>
      <c r="I68" s="4">
        <v>73.661718649220745</v>
      </c>
      <c r="J68" s="195">
        <v>80.2</v>
      </c>
    </row>
    <row r="69" spans="1:36" x14ac:dyDescent="0.25">
      <c r="B69" s="199">
        <v>51</v>
      </c>
      <c r="C69" s="29"/>
      <c r="D69" s="29">
        <f t="shared" si="9"/>
        <v>612</v>
      </c>
      <c r="E69" s="200">
        <f t="shared" si="10"/>
        <v>73.649818840707525</v>
      </c>
      <c r="H69" s="198" t="s">
        <v>320</v>
      </c>
      <c r="I69" s="4">
        <v>73.631928277054314</v>
      </c>
      <c r="J69" s="195">
        <v>68.8</v>
      </c>
    </row>
    <row r="70" spans="1:36" x14ac:dyDescent="0.25">
      <c r="B70" s="199">
        <v>52</v>
      </c>
      <c r="C70" s="29"/>
      <c r="D70" s="29">
        <f t="shared" si="9"/>
        <v>624</v>
      </c>
      <c r="E70" s="200">
        <f t="shared" si="10"/>
        <v>73.608054742496904</v>
      </c>
      <c r="H70" s="198" t="s">
        <v>321</v>
      </c>
      <c r="I70" s="4">
        <v>73.578206021271058</v>
      </c>
      <c r="J70" s="195">
        <v>73.75</v>
      </c>
    </row>
    <row r="71" spans="1:36" x14ac:dyDescent="0.25">
      <c r="B71" s="199">
        <v>53</v>
      </c>
      <c r="C71" s="29"/>
      <c r="D71" s="29">
        <f t="shared" si="9"/>
        <v>636</v>
      </c>
      <c r="E71" s="200">
        <f t="shared" si="10"/>
        <v>73.542389897612509</v>
      </c>
      <c r="H71" s="198" t="s">
        <v>322</v>
      </c>
      <c r="I71" s="4">
        <v>73.500614155757063</v>
      </c>
      <c r="J71" s="195">
        <v>71.25</v>
      </c>
    </row>
    <row r="72" spans="1:36" x14ac:dyDescent="0.25">
      <c r="B72" s="199">
        <v>54</v>
      </c>
      <c r="C72" s="29"/>
      <c r="D72" s="29">
        <f t="shared" si="9"/>
        <v>648</v>
      </c>
      <c r="E72" s="200">
        <f t="shared" si="10"/>
        <v>73.452886579940525</v>
      </c>
      <c r="H72" s="198" t="s">
        <v>323</v>
      </c>
      <c r="I72" s="4">
        <v>73.399214954398587</v>
      </c>
      <c r="J72" s="195">
        <v>75.099999999999994</v>
      </c>
    </row>
    <row r="73" spans="1:36" x14ac:dyDescent="0.25">
      <c r="B73" s="199">
        <v>55</v>
      </c>
      <c r="C73" s="29"/>
      <c r="D73" s="29">
        <f t="shared" si="9"/>
        <v>660</v>
      </c>
      <c r="E73" s="200">
        <f t="shared" si="10"/>
        <v>73.339607063367083</v>
      </c>
      <c r="H73" s="198" t="s">
        <v>324</v>
      </c>
      <c r="I73" s="4">
        <v>73.274070691081775</v>
      </c>
      <c r="J73" s="195">
        <v>74.599999999999994</v>
      </c>
    </row>
    <row r="74" spans="1:36" x14ac:dyDescent="0.25">
      <c r="B74" s="199">
        <v>56</v>
      </c>
      <c r="C74" s="29"/>
      <c r="D74" s="29">
        <f t="shared" si="9"/>
        <v>672</v>
      </c>
      <c r="E74" s="200">
        <f t="shared" si="10"/>
        <v>73.202613621778411</v>
      </c>
      <c r="H74" s="198" t="s">
        <v>325</v>
      </c>
      <c r="I74" s="4">
        <v>73.125243639692783</v>
      </c>
      <c r="J74" s="195">
        <v>74</v>
      </c>
    </row>
    <row r="75" spans="1:36" x14ac:dyDescent="0.25">
      <c r="B75" s="199">
        <v>57</v>
      </c>
      <c r="C75" s="29"/>
      <c r="D75" s="29">
        <f t="shared" si="9"/>
        <v>684</v>
      </c>
      <c r="E75" s="200">
        <f t="shared" si="10"/>
        <v>73.041968529060668</v>
      </c>
      <c r="H75" s="198" t="s">
        <v>326</v>
      </c>
      <c r="I75" s="4">
        <v>72.952796074117813</v>
      </c>
      <c r="J75" s="195">
        <v>65.3</v>
      </c>
    </row>
    <row r="76" spans="1:36" x14ac:dyDescent="0.25">
      <c r="B76" s="196">
        <v>58</v>
      </c>
      <c r="C76" s="166"/>
      <c r="D76" s="166">
        <f t="shared" si="9"/>
        <v>696</v>
      </c>
      <c r="E76" s="197">
        <f t="shared" si="10"/>
        <v>72.857734059100054</v>
      </c>
      <c r="H76" s="198" t="s">
        <v>327</v>
      </c>
      <c r="I76" s="4">
        <v>72.756790268243094</v>
      </c>
      <c r="J76" s="195">
        <v>80.7</v>
      </c>
    </row>
    <row r="77" spans="1:36" x14ac:dyDescent="0.25">
      <c r="B77" s="199">
        <v>59</v>
      </c>
      <c r="C77" s="29"/>
      <c r="D77" s="29">
        <f t="shared" si="9"/>
        <v>708</v>
      </c>
      <c r="E77" s="200">
        <f t="shared" si="10"/>
        <v>72.64997248578274</v>
      </c>
      <c r="H77" s="198" t="s">
        <v>328</v>
      </c>
      <c r="I77" s="4">
        <v>72.537288495954741</v>
      </c>
      <c r="J77" s="195">
        <v>82.6</v>
      </c>
    </row>
    <row r="78" spans="1:36" s="118" customFormat="1" x14ac:dyDescent="0.25">
      <c r="A78" s="3"/>
      <c r="B78" s="196">
        <v>60</v>
      </c>
      <c r="C78" s="201"/>
      <c r="D78" s="166">
        <f t="shared" si="9"/>
        <v>720</v>
      </c>
      <c r="E78" s="197">
        <f t="shared" si="10"/>
        <v>72.4187460829949</v>
      </c>
      <c r="F78" s="3"/>
      <c r="G78" s="3"/>
      <c r="H78" s="198" t="s">
        <v>329</v>
      </c>
      <c r="I78" s="4">
        <v>72.294353031138954</v>
      </c>
      <c r="J78" s="195">
        <v>73.2</v>
      </c>
      <c r="K78" s="3"/>
      <c r="L78" s="2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</sheetData>
  <mergeCells count="4">
    <mergeCell ref="J12:J13"/>
    <mergeCell ref="I12:I13"/>
    <mergeCell ref="H12:H13"/>
    <mergeCell ref="B12:E1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U348"/>
  <sheetViews>
    <sheetView topLeftCell="A7" zoomScale="90" zoomScaleNormal="90" workbookViewId="0">
      <selection activeCell="G23" sqref="G23"/>
    </sheetView>
  </sheetViews>
  <sheetFormatPr defaultColWidth="9.140625" defaultRowHeight="15.75" x14ac:dyDescent="0.25"/>
  <cols>
    <col min="1" max="1" width="9.140625" style="3"/>
    <col min="2" max="2" width="21" style="3" customWidth="1"/>
    <col min="3" max="3" width="46.140625" style="2" customWidth="1"/>
    <col min="4" max="4" width="33" style="3" customWidth="1"/>
    <col min="5" max="5" width="28.5703125" style="2" customWidth="1"/>
    <col min="6" max="6" width="18.85546875" style="3" customWidth="1"/>
    <col min="7" max="7" width="19.7109375" style="3" customWidth="1"/>
    <col min="8" max="16384" width="9.140625" style="3"/>
  </cols>
  <sheetData>
    <row r="1" spans="2:21" x14ac:dyDescent="0.25">
      <c r="B1" s="333" t="s">
        <v>82</v>
      </c>
      <c r="C1" s="333"/>
      <c r="D1" s="333"/>
      <c r="E1" s="333"/>
    </row>
    <row r="2" spans="2:21" x14ac:dyDescent="0.25">
      <c r="B2" s="16" t="s">
        <v>20</v>
      </c>
      <c r="C2" s="17" t="s">
        <v>87</v>
      </c>
      <c r="D2" s="17" t="s">
        <v>93</v>
      </c>
      <c r="E2" s="16"/>
    </row>
    <row r="3" spans="2:21" ht="47.25" x14ac:dyDescent="0.25">
      <c r="B3" s="16" t="s">
        <v>20</v>
      </c>
      <c r="C3" s="17" t="s">
        <v>88</v>
      </c>
      <c r="D3" s="17" t="s">
        <v>22</v>
      </c>
      <c r="E3" s="16"/>
    </row>
    <row r="4" spans="2:21" ht="31.5" x14ac:dyDescent="0.25">
      <c r="B4" s="5" t="s">
        <v>85</v>
      </c>
      <c r="C4" s="5" t="s">
        <v>83</v>
      </c>
      <c r="D4" s="5"/>
      <c r="E4" s="5">
        <v>1.72</v>
      </c>
    </row>
    <row r="5" spans="2:21" ht="31.5" x14ac:dyDescent="0.25">
      <c r="B5" s="5" t="s">
        <v>94</v>
      </c>
      <c r="C5" s="5" t="s">
        <v>95</v>
      </c>
      <c r="D5" s="5" t="s">
        <v>96</v>
      </c>
      <c r="E5" s="4">
        <f>0.05012 * (E7^0.78)</f>
        <v>1.3181751828791124</v>
      </c>
    </row>
    <row r="6" spans="2:21" x14ac:dyDescent="0.25">
      <c r="B6" s="5" t="s">
        <v>84</v>
      </c>
      <c r="C6" s="5" t="s">
        <v>3</v>
      </c>
      <c r="D6" s="5"/>
      <c r="E6" s="4">
        <v>162.15</v>
      </c>
      <c r="S6" s="329" t="s">
        <v>231</v>
      </c>
      <c r="T6" s="330"/>
      <c r="U6" s="331"/>
    </row>
    <row r="7" spans="2:21" ht="30" x14ac:dyDescent="0.25">
      <c r="B7" s="5" t="s">
        <v>86</v>
      </c>
      <c r="C7" s="5"/>
      <c r="D7" s="5"/>
      <c r="E7" s="4">
        <v>66.14</v>
      </c>
      <c r="S7" s="115" t="s">
        <v>15</v>
      </c>
      <c r="T7" s="116" t="s">
        <v>232</v>
      </c>
      <c r="U7" s="115" t="s">
        <v>233</v>
      </c>
    </row>
    <row r="8" spans="2:21" x14ac:dyDescent="0.25">
      <c r="C8" s="3"/>
      <c r="S8" s="115" t="s">
        <v>234</v>
      </c>
      <c r="T8" s="115">
        <v>130</v>
      </c>
      <c r="U8" s="115"/>
    </row>
    <row r="9" spans="2:21" x14ac:dyDescent="0.25">
      <c r="S9" s="115">
        <v>1</v>
      </c>
      <c r="T9" s="115">
        <v>330</v>
      </c>
      <c r="U9" s="115">
        <f>0.287*1000</f>
        <v>287</v>
      </c>
    </row>
    <row r="10" spans="2:21" x14ac:dyDescent="0.25">
      <c r="B10" s="7"/>
      <c r="C10" s="9"/>
      <c r="D10" s="5" t="s">
        <v>11</v>
      </c>
      <c r="E10" s="5" t="s">
        <v>79</v>
      </c>
      <c r="F10" s="4" t="s">
        <v>21</v>
      </c>
      <c r="G10" s="5" t="s">
        <v>70</v>
      </c>
      <c r="S10" s="115">
        <v>5</v>
      </c>
      <c r="T10" s="115">
        <v>570</v>
      </c>
      <c r="U10" s="115">
        <f>0.513*1000</f>
        <v>513</v>
      </c>
    </row>
    <row r="11" spans="2:21" x14ac:dyDescent="0.25">
      <c r="B11" s="143" t="s">
        <v>15</v>
      </c>
      <c r="C11" s="9" t="s">
        <v>73</v>
      </c>
      <c r="D11" s="9"/>
      <c r="E11" s="5"/>
      <c r="F11" s="4"/>
      <c r="G11" s="92"/>
      <c r="S11" s="115">
        <v>10</v>
      </c>
      <c r="T11" s="115">
        <v>830</v>
      </c>
      <c r="U11" s="115">
        <f>0.82*1000</f>
        <v>820</v>
      </c>
    </row>
    <row r="12" spans="2:21" s="23" customFormat="1" x14ac:dyDescent="0.25">
      <c r="B12" s="144">
        <v>0.5</v>
      </c>
      <c r="C12" s="18"/>
      <c r="D12" s="18"/>
      <c r="E12" s="88">
        <f t="shared" ref="E12:E37" si="0">0.05012 * F12^0.78</f>
        <v>0.22650086457101268</v>
      </c>
      <c r="F12" s="82">
        <v>6.9154266082630542</v>
      </c>
      <c r="G12" s="105">
        <f t="shared" ref="G12:G37" si="1">E12/F12</f>
        <v>3.2752985087047701E-2</v>
      </c>
      <c r="S12" s="115">
        <v>15</v>
      </c>
      <c r="T12" s="115">
        <v>1300</v>
      </c>
      <c r="U12" s="115">
        <f>1.185*1000</f>
        <v>1185</v>
      </c>
    </row>
    <row r="13" spans="2:21" s="23" customFormat="1" ht="17.25" customHeight="1" x14ac:dyDescent="0.25">
      <c r="B13" s="144">
        <v>1</v>
      </c>
      <c r="C13" s="18"/>
      <c r="D13" s="18"/>
      <c r="E13" s="88">
        <f t="shared" si="0"/>
        <v>0.28689840732054822</v>
      </c>
      <c r="F13" s="82">
        <v>9.3633691865002202</v>
      </c>
      <c r="G13" s="105">
        <f t="shared" si="1"/>
        <v>3.0640510013659226E-2</v>
      </c>
      <c r="S13" s="115" t="s">
        <v>235</v>
      </c>
      <c r="T13" s="115">
        <v>1400</v>
      </c>
      <c r="U13" s="115">
        <f>1.312*1000</f>
        <v>1312</v>
      </c>
    </row>
    <row r="14" spans="2:21" s="23" customFormat="1" ht="17.25" customHeight="1" x14ac:dyDescent="0.25">
      <c r="B14" s="144">
        <v>1.5</v>
      </c>
      <c r="C14" s="18"/>
      <c r="D14" s="18"/>
      <c r="E14" s="88">
        <f t="shared" si="0"/>
        <v>0.33220965350981047</v>
      </c>
      <c r="F14" s="82">
        <v>11.3</v>
      </c>
      <c r="G14" s="105">
        <f t="shared" si="1"/>
        <v>2.9399084381399154E-2</v>
      </c>
      <c r="S14" s="211"/>
      <c r="T14" s="211"/>
      <c r="U14" s="211"/>
    </row>
    <row r="15" spans="2:21" s="23" customFormat="1" x14ac:dyDescent="0.25">
      <c r="B15" s="144">
        <v>2</v>
      </c>
      <c r="C15" s="18"/>
      <c r="D15" s="18"/>
      <c r="E15" s="88">
        <f t="shared" si="0"/>
        <v>0.36870487419596387</v>
      </c>
      <c r="F15" s="82">
        <v>12.915540493605725</v>
      </c>
      <c r="G15" s="105">
        <f t="shared" si="1"/>
        <v>2.8547382463668763E-2</v>
      </c>
    </row>
    <row r="16" spans="2:21" s="23" customFormat="1" x14ac:dyDescent="0.25">
      <c r="B16" s="144">
        <v>3</v>
      </c>
      <c r="C16" s="18"/>
      <c r="D16" s="18"/>
      <c r="E16" s="88">
        <f t="shared" si="0"/>
        <v>0.42510867426276205</v>
      </c>
      <c r="F16" s="82">
        <v>15.501380986241351</v>
      </c>
      <c r="G16" s="105">
        <f t="shared" si="1"/>
        <v>2.7423922722761163E-2</v>
      </c>
    </row>
    <row r="17" spans="2:7" s="23" customFormat="1" x14ac:dyDescent="0.25">
      <c r="B17" s="145">
        <v>4</v>
      </c>
      <c r="C17" s="31"/>
      <c r="D17" s="31"/>
      <c r="E17" s="84">
        <f t="shared" si="0"/>
        <v>0.47057915059541722</v>
      </c>
      <c r="F17" s="46">
        <v>17.658377373442054</v>
      </c>
      <c r="G17" s="73">
        <f t="shared" si="1"/>
        <v>2.664905957345557E-2</v>
      </c>
    </row>
    <row r="18" spans="2:7" s="23" customFormat="1" x14ac:dyDescent="0.25">
      <c r="B18" s="144">
        <v>4.5</v>
      </c>
      <c r="C18" s="18"/>
      <c r="D18" s="18"/>
      <c r="E18" s="88">
        <f t="shared" si="0"/>
        <v>0.49168280712233592</v>
      </c>
      <c r="F18" s="82">
        <v>18.68</v>
      </c>
      <c r="G18" s="105">
        <f t="shared" si="1"/>
        <v>2.6321349417683937E-2</v>
      </c>
    </row>
    <row r="19" spans="2:7" s="23" customFormat="1" x14ac:dyDescent="0.25">
      <c r="B19" s="144">
        <v>5</v>
      </c>
      <c r="C19" s="89"/>
      <c r="D19" s="89"/>
      <c r="E19" s="88">
        <f t="shared" si="0"/>
        <v>0.51279967223096568</v>
      </c>
      <c r="F19" s="82">
        <v>19.714719894457716</v>
      </c>
      <c r="G19" s="105">
        <f t="shared" si="1"/>
        <v>2.6011004720139393E-2</v>
      </c>
    </row>
    <row r="20" spans="2:7" s="23" customFormat="1" x14ac:dyDescent="0.25">
      <c r="B20" s="144">
        <v>6</v>
      </c>
      <c r="C20" s="89"/>
      <c r="D20" s="89"/>
      <c r="E20" s="88">
        <f t="shared" si="0"/>
        <v>0.55707625258222793</v>
      </c>
      <c r="F20" s="82">
        <v>21.923103271580395</v>
      </c>
      <c r="G20" s="105">
        <f t="shared" si="1"/>
        <v>2.5410465191959539E-2</v>
      </c>
    </row>
    <row r="21" spans="2:7" s="23" customFormat="1" x14ac:dyDescent="0.25">
      <c r="B21" s="145">
        <v>7</v>
      </c>
      <c r="C21" s="49"/>
      <c r="D21" s="49"/>
      <c r="E21" s="84">
        <f t="shared" si="0"/>
        <v>0.60764724986063301</v>
      </c>
      <c r="F21" s="46">
        <v>24.506577270969409</v>
      </c>
      <c r="G21" s="73">
        <f t="shared" si="1"/>
        <v>2.4795272026030924E-2</v>
      </c>
    </row>
    <row r="22" spans="2:7" s="23" customFormat="1" x14ac:dyDescent="0.25">
      <c r="B22" s="145">
        <v>8</v>
      </c>
      <c r="C22" s="49"/>
      <c r="D22" s="49"/>
      <c r="E22" s="84">
        <f t="shared" si="0"/>
        <v>0.66774673258164929</v>
      </c>
      <c r="F22" s="46">
        <v>27.656408486783047</v>
      </c>
      <c r="G22" s="73">
        <f t="shared" si="1"/>
        <v>2.4144376262766165E-2</v>
      </c>
    </row>
    <row r="23" spans="2:7" s="23" customFormat="1" x14ac:dyDescent="0.25">
      <c r="B23" s="145">
        <v>9</v>
      </c>
      <c r="C23" s="49"/>
      <c r="D23" s="49"/>
      <c r="E23" s="84">
        <f t="shared" si="0"/>
        <v>0.73890179620578278</v>
      </c>
      <c r="F23" s="46">
        <v>31.490091534874679</v>
      </c>
      <c r="G23" s="73">
        <f t="shared" si="1"/>
        <v>2.3464580767809551E-2</v>
      </c>
    </row>
    <row r="24" spans="2:7" s="23" customFormat="1" x14ac:dyDescent="0.25">
      <c r="B24" s="145">
        <v>10</v>
      </c>
      <c r="C24" s="49"/>
      <c r="D24" s="49"/>
      <c r="E24" s="84">
        <f t="shared" ref="E24" si="2">0.05012 * F24^0.78</f>
        <v>0.81992237166431758</v>
      </c>
      <c r="F24" s="46">
        <v>35.983608273747407</v>
      </c>
      <c r="G24" s="73">
        <f t="shared" ref="G24" si="3">E24/F24</f>
        <v>2.2785996485586161E-2</v>
      </c>
    </row>
    <row r="25" spans="2:7" s="23" customFormat="1" x14ac:dyDescent="0.25">
      <c r="B25" s="144">
        <v>10.3</v>
      </c>
      <c r="C25" s="89"/>
      <c r="D25" s="89"/>
      <c r="E25" s="88">
        <f>0.05012 * F25^0.78</f>
        <v>0.84551735726501287</v>
      </c>
      <c r="F25" s="82">
        <v>37.43</v>
      </c>
      <c r="G25" s="105">
        <f t="shared" si="1"/>
        <v>2.2589296213331896E-2</v>
      </c>
    </row>
    <row r="26" spans="2:7" s="23" customFormat="1" x14ac:dyDescent="0.25">
      <c r="B26" s="145">
        <v>11</v>
      </c>
      <c r="C26" s="49"/>
      <c r="D26" s="49"/>
      <c r="E26" s="84">
        <f t="shared" si="0"/>
        <v>0.90641873541791873</v>
      </c>
      <c r="F26" s="46">
        <v>40.920969268335227</v>
      </c>
      <c r="G26" s="73">
        <f t="shared" si="1"/>
        <v>2.2150470812999739E-2</v>
      </c>
    </row>
    <row r="27" spans="2:7" s="23" customFormat="1" x14ac:dyDescent="0.25">
      <c r="B27" s="144">
        <v>12</v>
      </c>
      <c r="C27" s="89"/>
      <c r="D27" s="89"/>
      <c r="E27" s="88">
        <f t="shared" si="0"/>
        <v>0.99170956461957716</v>
      </c>
      <c r="F27" s="82">
        <v>45.921623136976415</v>
      </c>
      <c r="G27" s="105">
        <f t="shared" si="1"/>
        <v>2.1595699299684502E-2</v>
      </c>
    </row>
    <row r="28" spans="2:7" s="23" customFormat="1" x14ac:dyDescent="0.25">
      <c r="B28" s="144">
        <v>13</v>
      </c>
      <c r="C28" s="89"/>
      <c r="D28" s="89"/>
      <c r="E28" s="88">
        <f t="shared" si="0"/>
        <v>1.0690561313321774</v>
      </c>
      <c r="F28" s="82">
        <v>50.562975543985615</v>
      </c>
      <c r="G28" s="105">
        <f t="shared" si="1"/>
        <v>2.1143062089021773E-2</v>
      </c>
    </row>
    <row r="29" spans="2:7" s="23" customFormat="1" x14ac:dyDescent="0.25">
      <c r="B29" s="145">
        <v>14</v>
      </c>
      <c r="C29" s="49"/>
      <c r="D29" s="49"/>
      <c r="E29" s="84">
        <f t="shared" si="0"/>
        <v>1.133910465242616</v>
      </c>
      <c r="F29" s="46">
        <v>54.528714320701638</v>
      </c>
      <c r="G29" s="73">
        <f t="shared" si="1"/>
        <v>2.0794740520997956E-2</v>
      </c>
    </row>
    <row r="30" spans="2:7" s="23" customFormat="1" x14ac:dyDescent="0.25">
      <c r="B30" s="144">
        <v>15</v>
      </c>
      <c r="C30" s="89"/>
      <c r="D30" s="89"/>
      <c r="E30" s="88">
        <f t="shared" si="0"/>
        <v>1.1848101136009463</v>
      </c>
      <c r="F30" s="82">
        <v>57.686469728875608</v>
      </c>
      <c r="G30" s="105">
        <f t="shared" si="1"/>
        <v>2.0538786983663803E-2</v>
      </c>
    </row>
    <row r="31" spans="2:7" s="23" customFormat="1" x14ac:dyDescent="0.25">
      <c r="B31" s="145">
        <v>16</v>
      </c>
      <c r="C31" s="49"/>
      <c r="D31" s="49"/>
      <c r="E31" s="84">
        <f t="shared" si="0"/>
        <v>1.222787225320205</v>
      </c>
      <c r="F31" s="46">
        <v>60.067673083421695</v>
      </c>
      <c r="G31" s="73">
        <f t="shared" si="1"/>
        <v>2.0356826934547705E-2</v>
      </c>
    </row>
    <row r="32" spans="2:7" s="23" customFormat="1" x14ac:dyDescent="0.25">
      <c r="B32" s="145">
        <v>17</v>
      </c>
      <c r="C32" s="49"/>
      <c r="D32" s="49"/>
      <c r="E32" s="84">
        <f t="shared" si="0"/>
        <v>1.2501544324810225</v>
      </c>
      <c r="F32" s="46">
        <v>61.796641842834646</v>
      </c>
      <c r="G32" s="73">
        <f t="shared" si="1"/>
        <v>2.0230135411896635E-2</v>
      </c>
    </row>
    <row r="33" spans="2:7" s="23" customFormat="1" x14ac:dyDescent="0.25">
      <c r="B33" s="145">
        <v>18</v>
      </c>
      <c r="C33" s="49"/>
      <c r="D33" s="49"/>
      <c r="E33" s="84">
        <f t="shared" si="0"/>
        <v>1.2694776351111658</v>
      </c>
      <c r="F33" s="46">
        <v>63.023877266443805</v>
      </c>
      <c r="G33" s="73">
        <f t="shared" si="1"/>
        <v>2.0142804444484436E-2</v>
      </c>
    </row>
    <row r="34" spans="2:7" s="23" customFormat="1" x14ac:dyDescent="0.25">
      <c r="B34" s="144">
        <v>19</v>
      </c>
      <c r="C34" s="89"/>
      <c r="D34" s="89"/>
      <c r="E34" s="88">
        <f t="shared" si="0"/>
        <v>1.2830125884815935</v>
      </c>
      <c r="F34" s="82">
        <v>63.886643380924738</v>
      </c>
      <c r="G34" s="105">
        <f t="shared" si="1"/>
        <v>2.0082642013787112E-2</v>
      </c>
    </row>
    <row r="35" spans="2:7" s="23" customFormat="1" x14ac:dyDescent="0.25">
      <c r="B35" s="144">
        <v>20</v>
      </c>
      <c r="C35" s="89"/>
      <c r="D35" s="89"/>
      <c r="E35" s="88">
        <f t="shared" si="0"/>
        <v>1.2925183027794156</v>
      </c>
      <c r="F35" s="82">
        <v>64.494109471333417</v>
      </c>
      <c r="G35" s="105">
        <f t="shared" si="1"/>
        <v>2.0040873707294446E-2</v>
      </c>
    </row>
    <row r="36" spans="2:7" s="23" customFormat="1" x14ac:dyDescent="0.25">
      <c r="B36" s="145">
        <v>21</v>
      </c>
      <c r="C36" s="49"/>
      <c r="D36" s="49"/>
      <c r="E36" s="84">
        <f t="shared" si="0"/>
        <v>1.2992739661272272</v>
      </c>
      <c r="F36" s="46">
        <v>64.926599748981431</v>
      </c>
      <c r="G36" s="73">
        <f t="shared" si="1"/>
        <v>2.0011427845451128E-2</v>
      </c>
    </row>
    <row r="37" spans="2:7" s="23" customFormat="1" x14ac:dyDescent="0.25">
      <c r="B37" s="145">
        <v>22</v>
      </c>
      <c r="C37" s="49"/>
      <c r="D37" s="49"/>
      <c r="E37" s="84">
        <f t="shared" si="0"/>
        <v>1.3055007135416143</v>
      </c>
      <c r="F37" s="46">
        <v>65.325791591348548</v>
      </c>
      <c r="G37" s="73">
        <f t="shared" si="1"/>
        <v>1.9984460681445597E-2</v>
      </c>
    </row>
    <row r="38" spans="2:7" s="23" customFormat="1" ht="63" customHeight="1" x14ac:dyDescent="0.25">
      <c r="B38" s="78">
        <v>23</v>
      </c>
      <c r="C38" s="41" t="s">
        <v>22</v>
      </c>
      <c r="D38" s="146">
        <v>1.7247402821960902</v>
      </c>
      <c r="E38" s="147">
        <f>(1.0728 * D38 - 0.3457) * 1.318175183 / (1.0728 * 1.72 - 0.3457)</f>
        <v>1.3226455686300818</v>
      </c>
      <c r="F38" s="148">
        <v>64.862678458374219</v>
      </c>
      <c r="G38" s="149">
        <f>E38/F38</f>
        <v>2.0391473187140935E-2</v>
      </c>
    </row>
    <row r="39" spans="2:7" s="34" customFormat="1" x14ac:dyDescent="0.25">
      <c r="B39" s="78">
        <v>24</v>
      </c>
      <c r="C39" s="86"/>
      <c r="D39" s="30">
        <v>1.7336573399662447</v>
      </c>
      <c r="E39" s="85">
        <f t="shared" ref="E39:E75" si="4">(1.0728 * D39 - 0.3457) * 1.318175183 / (1.0728 * 1.72 - 0.3457)</f>
        <v>1.3310549175399815</v>
      </c>
      <c r="F39" s="46">
        <v>65.515418464770889</v>
      </c>
      <c r="G39" s="48">
        <f t="shared" ref="G39:G40" si="5">E39/F39</f>
        <v>2.0316666652380761E-2</v>
      </c>
    </row>
    <row r="40" spans="2:7" s="23" customFormat="1" x14ac:dyDescent="0.25">
      <c r="B40" s="144">
        <v>25</v>
      </c>
      <c r="C40" s="89"/>
      <c r="D40" s="90">
        <v>1.7421835611066414</v>
      </c>
      <c r="E40" s="91">
        <f t="shared" si="4"/>
        <v>1.3390956828126408</v>
      </c>
      <c r="F40" s="82">
        <v>66.142514055682611</v>
      </c>
      <c r="G40" s="94">
        <f t="shared" si="5"/>
        <v>2.0245612098828181E-2</v>
      </c>
    </row>
    <row r="41" spans="2:7" s="23" customFormat="1" x14ac:dyDescent="0.25">
      <c r="B41" s="78">
        <v>26</v>
      </c>
      <c r="C41" s="86"/>
      <c r="D41" s="30">
        <v>1.7503251910137387</v>
      </c>
      <c r="E41" s="85">
        <f t="shared" si="4"/>
        <v>1.3467737542515421</v>
      </c>
      <c r="F41" s="46">
        <v>66.744027504995557</v>
      </c>
      <c r="G41" s="48">
        <f>E41/F41</f>
        <v>2.0178191286864443E-2</v>
      </c>
    </row>
    <row r="42" spans="2:7" s="23" customFormat="1" x14ac:dyDescent="0.25">
      <c r="B42" s="78">
        <v>27</v>
      </c>
      <c r="C42" s="86"/>
      <c r="D42" s="30">
        <v>1.7580881141407607</v>
      </c>
      <c r="E42" s="85">
        <f t="shared" si="4"/>
        <v>1.3540946812678898</v>
      </c>
      <c r="F42" s="46">
        <v>67.320021086595901</v>
      </c>
      <c r="G42" s="48">
        <f t="shared" ref="G42:G75" si="6">E42/F42</f>
        <v>2.0114293777865493E-2</v>
      </c>
    </row>
    <row r="43" spans="2:7" s="23" customFormat="1" x14ac:dyDescent="0.25">
      <c r="B43" s="78">
        <v>28</v>
      </c>
      <c r="C43" s="86"/>
      <c r="D43" s="30">
        <v>1.7654778803718021</v>
      </c>
      <c r="E43" s="85">
        <f t="shared" si="4"/>
        <v>1.3610636977530599</v>
      </c>
      <c r="F43" s="46">
        <v>67.870557074369813</v>
      </c>
      <c r="G43" s="48">
        <f t="shared" si="6"/>
        <v>2.005381650634842E-2</v>
      </c>
    </row>
    <row r="44" spans="2:7" s="23" customFormat="1" x14ac:dyDescent="0.25">
      <c r="B44" s="78">
        <v>29</v>
      </c>
      <c r="C44" s="86"/>
      <c r="D44" s="30">
        <v>1.7724997251255588</v>
      </c>
      <c r="E44" s="85">
        <f t="shared" si="4"/>
        <v>1.3676857410376875</v>
      </c>
      <c r="F44" s="46">
        <v>68.395697742203453</v>
      </c>
      <c r="G44" s="48">
        <f t="shared" si="6"/>
        <v>1.9996663330970877E-2</v>
      </c>
    </row>
    <row r="45" spans="2:7" s="24" customFormat="1" x14ac:dyDescent="0.25">
      <c r="B45" s="78">
        <v>30</v>
      </c>
      <c r="C45" s="86"/>
      <c r="D45" s="30">
        <v>1.7791585866113251</v>
      </c>
      <c r="E45" s="85">
        <f t="shared" si="4"/>
        <v>1.3739654681651625</v>
      </c>
      <c r="F45" s="65">
        <v>68.895505363983034</v>
      </c>
      <c r="G45" s="93">
        <f t="shared" si="6"/>
        <v>1.9942744608757012E-2</v>
      </c>
    </row>
    <row r="46" spans="2:7" s="24" customFormat="1" x14ac:dyDescent="0.25">
      <c r="B46" s="78">
        <v>31</v>
      </c>
      <c r="C46" s="86"/>
      <c r="D46" s="30">
        <v>1.7854591213030413</v>
      </c>
      <c r="E46" s="85">
        <f t="shared" si="4"/>
        <v>1.3799072704846345</v>
      </c>
      <c r="F46" s="65">
        <v>69.370042213594715</v>
      </c>
      <c r="G46" s="93">
        <f t="shared" si="6"/>
        <v>1.9891976802260167E-2</v>
      </c>
    </row>
    <row r="47" spans="2:7" s="24" customFormat="1" x14ac:dyDescent="0.25">
      <c r="B47" s="78">
        <v>32</v>
      </c>
      <c r="C47" s="86"/>
      <c r="D47" s="30">
        <v>1.791405718020088</v>
      </c>
      <c r="E47" s="85">
        <f t="shared" si="4"/>
        <v>1.3855152869300906</v>
      </c>
      <c r="F47" s="65">
        <v>69.819370564924668</v>
      </c>
      <c r="G47" s="93">
        <f t="shared" si="6"/>
        <v>1.984428211998427E-2</v>
      </c>
    </row>
    <row r="48" spans="2:7" s="24" customFormat="1" x14ac:dyDescent="0.25">
      <c r="B48" s="78">
        <v>33</v>
      </c>
      <c r="C48" s="86"/>
      <c r="D48" s="30">
        <v>1.7970025108023571</v>
      </c>
      <c r="E48" s="85">
        <f t="shared" si="4"/>
        <v>1.3907934161623623</v>
      </c>
      <c r="F48" s="65">
        <v>70.243552691859051</v>
      </c>
      <c r="G48" s="93">
        <f t="shared" si="6"/>
        <v>1.9799588188020988E-2</v>
      </c>
    </row>
    <row r="49" spans="2:7" s="24" customFormat="1" x14ac:dyDescent="0.25">
      <c r="B49" s="78">
        <v>34</v>
      </c>
      <c r="C49" s="86"/>
      <c r="D49" s="30">
        <v>1.8022533907017566</v>
      </c>
      <c r="E49" s="85">
        <f t="shared" si="4"/>
        <v>1.3957453276892584</v>
      </c>
      <c r="F49" s="65">
        <v>70.642650868284093</v>
      </c>
      <c r="G49" s="93">
        <f t="shared" si="6"/>
        <v>1.975782775042911E-2</v>
      </c>
    </row>
    <row r="50" spans="2:7" s="24" customFormat="1" x14ac:dyDescent="0.25">
      <c r="B50" s="78">
        <v>35</v>
      </c>
      <c r="C50" s="86"/>
      <c r="D50" s="30">
        <v>1.8071620165861177</v>
      </c>
      <c r="E50" s="85">
        <f t="shared" si="4"/>
        <v>1.4003744720543336</v>
      </c>
      <c r="F50" s="65">
        <v>71.016727368085924</v>
      </c>
      <c r="G50" s="93">
        <f t="shared" si="6"/>
        <v>1.9718938395965079E-2</v>
      </c>
    </row>
    <row r="51" spans="2:7" s="24" customFormat="1" x14ac:dyDescent="0.25">
      <c r="B51" s="78">
        <v>36</v>
      </c>
      <c r="C51" s="86"/>
      <c r="D51" s="30">
        <v>1.8117318250374792</v>
      </c>
      <c r="E51" s="85">
        <f t="shared" si="4"/>
        <v>1.4046840901715929</v>
      </c>
      <c r="F51" s="65">
        <v>71.365844465150758</v>
      </c>
      <c r="G51" s="93">
        <f t="shared" si="6"/>
        <v>1.9682862308979272E-2</v>
      </c>
    </row>
    <row r="52" spans="2:7" s="24" customFormat="1" x14ac:dyDescent="0.25">
      <c r="B52" s="78">
        <v>37</v>
      </c>
      <c r="C52" s="86"/>
      <c r="D52" s="30">
        <v>1.8159660394167008</v>
      </c>
      <c r="E52" s="85">
        <f t="shared" si="4"/>
        <v>1.4086772218739987</v>
      </c>
      <c r="F52" s="65">
        <v>71.690064433364697</v>
      </c>
      <c r="G52" s="93">
        <f t="shared" si="6"/>
        <v>1.9649546042511262E-2</v>
      </c>
    </row>
    <row r="53" spans="2:7" s="24" customFormat="1" x14ac:dyDescent="0.25">
      <c r="B53" s="78">
        <v>38</v>
      </c>
      <c r="C53" s="86"/>
      <c r="D53" s="30">
        <v>1.8198676781583289</v>
      </c>
      <c r="E53" s="85">
        <f t="shared" si="4"/>
        <v>1.4123567137360509</v>
      </c>
      <c r="F53" s="65">
        <v>71.989449546614026</v>
      </c>
      <c r="G53" s="93">
        <f t="shared" si="6"/>
        <v>1.9618940311823513E-2</v>
      </c>
    </row>
    <row r="54" spans="2:7" s="24" customFormat="1" x14ac:dyDescent="0.25">
      <c r="B54" s="78">
        <v>39</v>
      </c>
      <c r="C54" s="86"/>
      <c r="D54" s="30">
        <v>1.823439562352613</v>
      </c>
      <c r="E54" s="85">
        <f t="shared" si="4"/>
        <v>1.415725226224108</v>
      </c>
      <c r="F54" s="65">
        <v>72.264062078784832</v>
      </c>
      <c r="G54" s="93">
        <f t="shared" si="6"/>
        <v>1.9590999806800707E-2</v>
      </c>
    </row>
    <row r="55" spans="2:7" s="24" customFormat="1" x14ac:dyDescent="0.25">
      <c r="B55" s="78">
        <v>40</v>
      </c>
      <c r="C55" s="86"/>
      <c r="D55" s="30">
        <v>1.8266843226654108</v>
      </c>
      <c r="E55" s="85">
        <f t="shared" si="4"/>
        <v>1.4187852402222945</v>
      </c>
      <c r="F55" s="65">
        <v>72.513964303763331</v>
      </c>
      <c r="G55" s="93">
        <f t="shared" si="6"/>
        <v>1.9565683021810217E-2</v>
      </c>
    </row>
    <row r="56" spans="2:7" s="24" customFormat="1" x14ac:dyDescent="0.25">
      <c r="B56" s="78">
        <v>41</v>
      </c>
      <c r="C56" s="86"/>
      <c r="D56" s="30">
        <v>1.8296044056411949</v>
      </c>
      <c r="E56" s="85">
        <f t="shared" si="4"/>
        <v>1.4215390629766353</v>
      </c>
      <c r="F56" s="65">
        <v>72.739218495435694</v>
      </c>
      <c r="G56" s="93">
        <f t="shared" si="6"/>
        <v>1.9542952101772103E-2</v>
      </c>
    </row>
    <row r="57" spans="2:7" s="24" customFormat="1" x14ac:dyDescent="0.25">
      <c r="B57" s="78">
        <v>42</v>
      </c>
      <c r="C57" s="86"/>
      <c r="D57" s="30">
        <v>1.8322020794294125</v>
      </c>
      <c r="E57" s="85">
        <f t="shared" si="4"/>
        <v>1.4239888334953752</v>
      </c>
      <c r="F57" s="65">
        <v>72.939886927688079</v>
      </c>
      <c r="G57" s="93">
        <f t="shared" si="6"/>
        <v>1.9522772703323553E-2</v>
      </c>
    </row>
    <row r="58" spans="2:7" s="24" customFormat="1" x14ac:dyDescent="0.25">
      <c r="B58" s="78">
        <v>43</v>
      </c>
      <c r="C58" s="86"/>
      <c r="D58" s="30">
        <v>1.8344794389700327</v>
      </c>
      <c r="E58" s="85">
        <f t="shared" si="4"/>
        <v>1.426136527439275</v>
      </c>
      <c r="F58" s="65">
        <v>73.116031874406701</v>
      </c>
      <c r="G58" s="93">
        <f t="shared" si="6"/>
        <v>1.9505113870087843E-2</v>
      </c>
    </row>
    <row r="59" spans="2:7" s="24" customFormat="1" x14ac:dyDescent="0.25">
      <c r="B59" s="78">
        <v>44</v>
      </c>
      <c r="C59" s="86"/>
      <c r="D59" s="30">
        <v>1.8364384106700116</v>
      </c>
      <c r="E59" s="85">
        <f t="shared" si="4"/>
        <v>1.4279839615318157</v>
      </c>
      <c r="F59" s="65">
        <v>73.26771560947769</v>
      </c>
      <c r="G59" s="93">
        <f t="shared" si="6"/>
        <v>1.9489947921170016E-2</v>
      </c>
    </row>
    <row r="60" spans="2:7" s="24" customFormat="1" x14ac:dyDescent="0.25">
      <c r="B60" s="78">
        <v>45</v>
      </c>
      <c r="C60" s="86"/>
      <c r="D60" s="30">
        <v>1.8380807565988027</v>
      </c>
      <c r="E60" s="85">
        <f t="shared" si="4"/>
        <v>1.429532797515831</v>
      </c>
      <c r="F60" s="65">
        <v>73.395000406787247</v>
      </c>
      <c r="G60" s="93">
        <f t="shared" si="6"/>
        <v>1.9477250352104829E-2</v>
      </c>
    </row>
    <row r="61" spans="2:7" s="24" customFormat="1" x14ac:dyDescent="0.25">
      <c r="B61" s="78">
        <v>46</v>
      </c>
      <c r="C61" s="86"/>
      <c r="D61" s="30">
        <v>1.839408078227633</v>
      </c>
      <c r="E61" s="85">
        <f t="shared" si="4"/>
        <v>1.430784545679878</v>
      </c>
      <c r="F61" s="65">
        <v>73.497948540221557</v>
      </c>
      <c r="G61" s="93">
        <f t="shared" si="6"/>
        <v>1.9466999747576423E-2</v>
      </c>
    </row>
    <row r="62" spans="2:7" s="24" customFormat="1" x14ac:dyDescent="0.25">
      <c r="B62" s="78">
        <v>47</v>
      </c>
      <c r="C62" s="86"/>
      <c r="D62" s="30">
        <v>1.8404218197342088</v>
      </c>
      <c r="E62" s="85">
        <f t="shared" si="4"/>
        <v>1.431740567974785</v>
      </c>
      <c r="F62" s="65">
        <v>73.576622283666779</v>
      </c>
      <c r="G62" s="93">
        <f t="shared" si="6"/>
        <v>1.9459177705316001E-2</v>
      </c>
    </row>
    <row r="63" spans="2:7" s="24" customFormat="1" x14ac:dyDescent="0.25">
      <c r="B63" s="78">
        <v>48</v>
      </c>
      <c r="C63" s="86"/>
      <c r="D63" s="30">
        <v>1.8411232708916732</v>
      </c>
      <c r="E63" s="85">
        <f t="shared" si="4"/>
        <v>1.4324020807381224</v>
      </c>
      <c r="F63" s="65">
        <v>73.6310839110091</v>
      </c>
      <c r="G63" s="93">
        <f t="shared" si="6"/>
        <v>1.9453768770663904E-2</v>
      </c>
    </row>
    <row r="64" spans="2:7" s="24" customFormat="1" x14ac:dyDescent="0.25">
      <c r="B64" s="131">
        <v>49</v>
      </c>
      <c r="C64" s="212"/>
      <c r="D64" s="100">
        <v>1.8415135695579758</v>
      </c>
      <c r="E64" s="91">
        <f t="shared" si="4"/>
        <v>1.4327701570418325</v>
      </c>
      <c r="F64" s="80">
        <v>73.66139569613469</v>
      </c>
      <c r="G64" s="213">
        <f t="shared" si="6"/>
        <v>1.945076038135693E-2</v>
      </c>
    </row>
    <row r="65" spans="2:7" s="24" customFormat="1" x14ac:dyDescent="0.25">
      <c r="B65" s="131">
        <v>50</v>
      </c>
      <c r="C65" s="212"/>
      <c r="D65" s="100">
        <v>1.8415937037793497</v>
      </c>
      <c r="E65" s="91">
        <f t="shared" si="4"/>
        <v>1.432845728675944</v>
      </c>
      <c r="F65" s="80">
        <v>73.667619912929737</v>
      </c>
      <c r="G65" s="213">
        <f t="shared" si="6"/>
        <v>1.9450142822171709E-2</v>
      </c>
    </row>
    <row r="66" spans="2:7" s="24" customFormat="1" x14ac:dyDescent="0.25">
      <c r="B66" s="78">
        <v>51</v>
      </c>
      <c r="C66" s="86"/>
      <c r="D66" s="30">
        <v>1.8413645135192667</v>
      </c>
      <c r="E66" s="85">
        <f t="shared" si="4"/>
        <v>1.4326295877790842</v>
      </c>
      <c r="F66" s="65">
        <v>73.649818835280385</v>
      </c>
      <c r="G66" s="93">
        <f t="shared" si="6"/>
        <v>1.9451909189120955E-2</v>
      </c>
    </row>
    <row r="67" spans="2:7" s="24" customFormat="1" x14ac:dyDescent="0.25">
      <c r="B67" s="78">
        <v>52</v>
      </c>
      <c r="C67" s="86"/>
      <c r="D67" s="30">
        <v>1.8408266920219878</v>
      </c>
      <c r="E67" s="85">
        <f t="shared" si="4"/>
        <v>1.4321223881243954</v>
      </c>
      <c r="F67" s="65">
        <v>73.608054737072848</v>
      </c>
      <c r="G67" s="93">
        <f t="shared" si="6"/>
        <v>1.9456055362961577E-2</v>
      </c>
    </row>
    <row r="68" spans="2:7" s="24" customFormat="1" x14ac:dyDescent="0.25">
      <c r="B68" s="78">
        <v>53</v>
      </c>
      <c r="C68" s="86"/>
      <c r="D68" s="30">
        <v>1.8399807868177513</v>
      </c>
      <c r="E68" s="85">
        <f t="shared" si="4"/>
        <v>1.4313246460674878</v>
      </c>
      <c r="F68" s="65">
        <v>73.542389892193299</v>
      </c>
      <c r="G68" s="93">
        <f t="shared" si="6"/>
        <v>1.9462579991834428E-2</v>
      </c>
    </row>
    <row r="69" spans="2:7" s="24" customFormat="1" x14ac:dyDescent="0.25">
      <c r="B69" s="78">
        <v>54</v>
      </c>
      <c r="C69" s="86"/>
      <c r="D69" s="30">
        <v>1.8388272003745252</v>
      </c>
      <c r="E69" s="85">
        <f t="shared" si="4"/>
        <v>1.4302367411610866</v>
      </c>
      <c r="F69" s="65">
        <v>73.452886574527895</v>
      </c>
      <c r="G69" s="93">
        <f t="shared" si="6"/>
        <v>1.9471484482912974E-2</v>
      </c>
    </row>
    <row r="70" spans="2:7" s="24" customFormat="1" x14ac:dyDescent="0.25">
      <c r="B70" s="78">
        <v>55</v>
      </c>
      <c r="C70" s="86"/>
      <c r="D70" s="30">
        <v>1.8373661903992933</v>
      </c>
      <c r="E70" s="85">
        <f t="shared" si="4"/>
        <v>1.4288589164391596</v>
      </c>
      <c r="F70" s="65">
        <v>73.339607057962809</v>
      </c>
      <c r="G70" s="93">
        <f t="shared" si="6"/>
        <v>1.9482773002995276E-2</v>
      </c>
    </row>
    <row r="71" spans="2:7" s="24" customFormat="1" x14ac:dyDescent="0.25">
      <c r="B71" s="78">
        <v>56</v>
      </c>
      <c r="C71" s="86"/>
      <c r="D71" s="30">
        <v>1.8355978697898137</v>
      </c>
      <c r="E71" s="85">
        <f t="shared" si="4"/>
        <v>1.4271912783714265</v>
      </c>
      <c r="F71" s="65">
        <v>73.202613616384227</v>
      </c>
      <c r="G71" s="93">
        <f t="shared" si="6"/>
        <v>1.9496452488029638E-2</v>
      </c>
    </row>
    <row r="72" spans="2:7" s="24" customFormat="1" x14ac:dyDescent="0.25">
      <c r="B72" s="78">
        <v>57</v>
      </c>
      <c r="C72" s="86"/>
      <c r="D72" s="30">
        <v>1.8335222062358454</v>
      </c>
      <c r="E72" s="85">
        <f t="shared" si="4"/>
        <v>1.4252337964872897</v>
      </c>
      <c r="F72" s="65">
        <v>73.041968523678321</v>
      </c>
      <c r="G72" s="93">
        <f t="shared" si="6"/>
        <v>1.9512532661619952E-2</v>
      </c>
    </row>
    <row r="73" spans="2:7" s="24" customFormat="1" x14ac:dyDescent="0.25">
      <c r="B73" s="131">
        <v>58</v>
      </c>
      <c r="C73" s="212"/>
      <c r="D73" s="100">
        <v>1.8311390214668306</v>
      </c>
      <c r="E73" s="91">
        <f t="shared" si="4"/>
        <v>1.4229863026663478</v>
      </c>
      <c r="F73" s="80">
        <v>72.857734053731278</v>
      </c>
      <c r="G73" s="213">
        <f t="shared" si="6"/>
        <v>1.9531026062612939E-2</v>
      </c>
    </row>
    <row r="74" spans="2:7" s="24" customFormat="1" x14ac:dyDescent="0.25">
      <c r="B74" s="78">
        <v>59</v>
      </c>
      <c r="C74" s="86"/>
      <c r="D74" s="30">
        <v>1.8284479901409971</v>
      </c>
      <c r="E74" s="85">
        <f t="shared" si="4"/>
        <v>1.420448490090753</v>
      </c>
      <c r="F74" s="65">
        <v>72.64997248042927</v>
      </c>
      <c r="G74" s="93">
        <f t="shared" si="6"/>
        <v>1.9551948081926653E-2</v>
      </c>
    </row>
    <row r="75" spans="2:7" s="24" customFormat="1" x14ac:dyDescent="0.25">
      <c r="B75" s="131">
        <v>60</v>
      </c>
      <c r="C75" s="212"/>
      <c r="D75" s="100">
        <v>1.8254486383687709</v>
      </c>
      <c r="E75" s="91">
        <f t="shared" si="4"/>
        <v>1.4176199118526938</v>
      </c>
      <c r="F75" s="80">
        <v>72.418746077658469</v>
      </c>
      <c r="G75" s="213">
        <f t="shared" si="6"/>
        <v>1.9575317008837804E-2</v>
      </c>
    </row>
    <row r="76" spans="2:7" s="2" customFormat="1" x14ac:dyDescent="0.25"/>
    <row r="77" spans="2:7" s="2" customFormat="1" x14ac:dyDescent="0.25"/>
    <row r="78" spans="2:7" s="2" customFormat="1" x14ac:dyDescent="0.25"/>
    <row r="79" spans="2:7" s="2" customFormat="1" x14ac:dyDescent="0.25"/>
    <row r="80" spans="2:7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</sheetData>
  <mergeCells count="2">
    <mergeCell ref="B1:E1"/>
    <mergeCell ref="S6:U6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L302"/>
  <sheetViews>
    <sheetView zoomScale="90" zoomScaleNormal="90" workbookViewId="0">
      <selection activeCell="G7" sqref="G7:G70"/>
    </sheetView>
  </sheetViews>
  <sheetFormatPr defaultColWidth="9.140625" defaultRowHeight="15.75" x14ac:dyDescent="0.25"/>
  <cols>
    <col min="1" max="1" width="9.140625" style="3"/>
    <col min="2" max="2" width="15" style="2" customWidth="1"/>
    <col min="3" max="3" width="17.7109375" style="3" customWidth="1"/>
    <col min="4" max="4" width="21.5703125" style="3" customWidth="1"/>
    <col min="5" max="5" width="10.7109375" style="3" customWidth="1"/>
    <col min="6" max="6" width="21.140625" style="2" bestFit="1" customWidth="1"/>
    <col min="7" max="7" width="20.5703125" style="3" customWidth="1"/>
    <col min="8" max="16384" width="9.140625" style="3"/>
  </cols>
  <sheetData>
    <row r="1" spans="2:7" ht="59.25" customHeight="1" x14ac:dyDescent="0.25">
      <c r="B1" s="334" t="s">
        <v>151</v>
      </c>
      <c r="C1" s="334"/>
      <c r="D1" s="334"/>
      <c r="E1" s="334"/>
      <c r="F1" s="3"/>
    </row>
    <row r="2" spans="2:7" ht="45" customHeight="1" x14ac:dyDescent="0.25">
      <c r="B2" s="66" t="s">
        <v>124</v>
      </c>
      <c r="C2" s="66" t="s">
        <v>125</v>
      </c>
      <c r="D2" s="66" t="s">
        <v>227</v>
      </c>
      <c r="E2" s="66"/>
      <c r="F2" s="3"/>
    </row>
    <row r="3" spans="2:7" x14ac:dyDescent="0.25">
      <c r="B3" s="66" t="s">
        <v>126</v>
      </c>
      <c r="C3" s="66"/>
      <c r="D3" s="66" t="s">
        <v>127</v>
      </c>
      <c r="E3" s="66"/>
      <c r="F3" s="3"/>
    </row>
    <row r="4" spans="2:7" ht="58.5" customHeight="1" x14ac:dyDescent="0.25">
      <c r="B4" s="66" t="s">
        <v>141</v>
      </c>
      <c r="C4" s="66" t="s">
        <v>142</v>
      </c>
      <c r="D4" s="66" t="s">
        <v>140</v>
      </c>
      <c r="E4" s="66"/>
      <c r="F4" s="3"/>
    </row>
    <row r="6" spans="2:7" x14ac:dyDescent="0.25">
      <c r="B6" s="138" t="s">
        <v>15</v>
      </c>
      <c r="C6" s="25" t="s">
        <v>21</v>
      </c>
      <c r="D6" s="25" t="s">
        <v>74</v>
      </c>
      <c r="E6" s="25" t="s">
        <v>139</v>
      </c>
      <c r="F6" s="29" t="s">
        <v>128</v>
      </c>
      <c r="G6" s="29" t="s">
        <v>129</v>
      </c>
    </row>
    <row r="7" spans="2:7" s="23" customFormat="1" x14ac:dyDescent="0.25">
      <c r="B7" s="150">
        <v>0.5</v>
      </c>
      <c r="C7" s="82">
        <v>6.9154266082630542</v>
      </c>
      <c r="D7" s="82">
        <v>2.5875450913980989</v>
      </c>
      <c r="E7" s="82">
        <f>C7-D7</f>
        <v>4.3278815168649558</v>
      </c>
      <c r="F7" s="95">
        <f>0.027 * E7</f>
        <v>0.1168528009553538</v>
      </c>
      <c r="G7" s="111">
        <f>F7/C7</f>
        <v>1.6897410322557625E-2</v>
      </c>
    </row>
    <row r="8" spans="2:7" s="23" customFormat="1" x14ac:dyDescent="0.25">
      <c r="B8" s="150">
        <v>1</v>
      </c>
      <c r="C8" s="82">
        <v>9.3633691865002202</v>
      </c>
      <c r="D8" s="82">
        <v>3.520953660162184</v>
      </c>
      <c r="E8" s="82">
        <f t="shared" ref="E8:E70" si="0">C8-D8</f>
        <v>5.8424155263380362</v>
      </c>
      <c r="F8" s="95">
        <f t="shared" ref="F8:F70" si="1">0.027 * E8</f>
        <v>0.15774521921112697</v>
      </c>
      <c r="G8" s="111">
        <f t="shared" ref="G8:G70" si="2">F8/C8</f>
        <v>1.6847057514143365E-2</v>
      </c>
    </row>
    <row r="9" spans="2:7" s="23" customFormat="1" x14ac:dyDescent="0.25">
      <c r="B9" s="150">
        <v>1.5</v>
      </c>
      <c r="C9" s="82">
        <v>11.3</v>
      </c>
      <c r="D9" s="82">
        <v>4.1593600000000004</v>
      </c>
      <c r="E9" s="82">
        <f t="shared" si="0"/>
        <v>7.1406400000000003</v>
      </c>
      <c r="F9" s="95">
        <f t="shared" si="1"/>
        <v>0.19279728000000002</v>
      </c>
      <c r="G9" s="111">
        <f t="shared" si="2"/>
        <v>1.7061706194690267E-2</v>
      </c>
    </row>
    <row r="10" spans="2:7" s="23" customFormat="1" x14ac:dyDescent="0.25">
      <c r="B10" s="150">
        <v>2</v>
      </c>
      <c r="C10" s="82">
        <v>12.915540493605725</v>
      </c>
      <c r="D10" s="82">
        <v>4.6316765343848241</v>
      </c>
      <c r="E10" s="82">
        <f t="shared" si="0"/>
        <v>8.283863959220902</v>
      </c>
      <c r="F10" s="95">
        <f t="shared" si="1"/>
        <v>0.22366432689896434</v>
      </c>
      <c r="G10" s="111">
        <f t="shared" si="2"/>
        <v>1.7317457756390212E-2</v>
      </c>
    </row>
    <row r="11" spans="2:7" s="23" customFormat="1" x14ac:dyDescent="0.25">
      <c r="B11" s="150">
        <v>3</v>
      </c>
      <c r="C11" s="82">
        <v>15.501380986241351</v>
      </c>
      <c r="D11" s="82">
        <v>5.2792940044691417</v>
      </c>
      <c r="E11" s="82">
        <f t="shared" si="0"/>
        <v>10.222086981772209</v>
      </c>
      <c r="F11" s="95">
        <f t="shared" si="1"/>
        <v>0.27599634850784965</v>
      </c>
      <c r="G11" s="111">
        <f t="shared" si="2"/>
        <v>1.7804629713495675E-2</v>
      </c>
    </row>
    <row r="12" spans="2:7" s="23" customFormat="1" x14ac:dyDescent="0.25">
      <c r="B12" s="126">
        <v>4</v>
      </c>
      <c r="C12" s="46">
        <v>17.658377373442054</v>
      </c>
      <c r="D12" s="46">
        <v>5.5994094442037019</v>
      </c>
      <c r="E12" s="46">
        <f t="shared" si="0"/>
        <v>12.058967929238353</v>
      </c>
      <c r="F12" s="47">
        <f t="shared" si="1"/>
        <v>0.32559213408943555</v>
      </c>
      <c r="G12" s="112">
        <f t="shared" si="2"/>
        <v>1.8438394831176361E-2</v>
      </c>
    </row>
    <row r="13" spans="2:7" s="23" customFormat="1" x14ac:dyDescent="0.25">
      <c r="B13" s="150">
        <v>4.5</v>
      </c>
      <c r="C13" s="82">
        <v>18.68</v>
      </c>
      <c r="D13" s="82">
        <v>5.7307499999999996</v>
      </c>
      <c r="E13" s="82">
        <f t="shared" si="0"/>
        <v>12.949249999999999</v>
      </c>
      <c r="F13" s="95">
        <f t="shared" si="1"/>
        <v>0.34962974999999996</v>
      </c>
      <c r="G13" s="111">
        <f t="shared" si="2"/>
        <v>1.8716796038543895E-2</v>
      </c>
    </row>
    <row r="14" spans="2:7" s="23" customFormat="1" x14ac:dyDescent="0.25">
      <c r="B14" s="150">
        <v>5</v>
      </c>
      <c r="C14" s="82">
        <v>19.714719894457716</v>
      </c>
      <c r="D14" s="82">
        <v>5.8874787025245778</v>
      </c>
      <c r="E14" s="82">
        <f t="shared" si="0"/>
        <v>13.827241191933137</v>
      </c>
      <c r="F14" s="95">
        <f t="shared" si="1"/>
        <v>0.37333551218219468</v>
      </c>
      <c r="G14" s="111">
        <f t="shared" si="2"/>
        <v>1.8936891529823273E-2</v>
      </c>
    </row>
    <row r="15" spans="2:7" s="23" customFormat="1" x14ac:dyDescent="0.25">
      <c r="B15" s="150">
        <v>6</v>
      </c>
      <c r="C15" s="82">
        <v>21.923103271580395</v>
      </c>
      <c r="D15" s="82">
        <v>6.3108495487671128</v>
      </c>
      <c r="E15" s="82">
        <f t="shared" si="0"/>
        <v>15.612253722813282</v>
      </c>
      <c r="F15" s="95">
        <f t="shared" si="1"/>
        <v>0.42153085051595862</v>
      </c>
      <c r="G15" s="111">
        <f t="shared" si="2"/>
        <v>1.9227699896957665E-2</v>
      </c>
    </row>
    <row r="16" spans="2:7" s="23" customFormat="1" x14ac:dyDescent="0.25">
      <c r="B16" s="126">
        <v>7</v>
      </c>
      <c r="C16" s="46">
        <v>24.506577270969409</v>
      </c>
      <c r="D16" s="46">
        <v>6.9610821193543293</v>
      </c>
      <c r="E16" s="46">
        <f t="shared" si="0"/>
        <v>17.545495151615079</v>
      </c>
      <c r="F16" s="47">
        <f t="shared" si="1"/>
        <v>0.4737283690936071</v>
      </c>
      <c r="G16" s="112">
        <f t="shared" si="2"/>
        <v>1.933066228937599E-2</v>
      </c>
    </row>
    <row r="17" spans="2:7" s="23" customFormat="1" x14ac:dyDescent="0.25">
      <c r="B17" s="126">
        <v>8</v>
      </c>
      <c r="C17" s="46">
        <v>27.656408486783047</v>
      </c>
      <c r="D17" s="46">
        <v>7.9034083436712512</v>
      </c>
      <c r="E17" s="46">
        <f t="shared" si="0"/>
        <v>19.753000143111795</v>
      </c>
      <c r="F17" s="47">
        <f t="shared" si="1"/>
        <v>0.53333100386401844</v>
      </c>
      <c r="G17" s="112">
        <f t="shared" si="2"/>
        <v>1.9284174375674864E-2</v>
      </c>
    </row>
    <row r="18" spans="2:7" s="23" customFormat="1" x14ac:dyDescent="0.25">
      <c r="B18" s="126">
        <v>9</v>
      </c>
      <c r="C18" s="46">
        <v>31.490091534874679</v>
      </c>
      <c r="D18" s="46">
        <v>9.1445052360387571</v>
      </c>
      <c r="E18" s="46">
        <f t="shared" si="0"/>
        <v>22.345586298835922</v>
      </c>
      <c r="F18" s="47">
        <f t="shared" si="1"/>
        <v>0.60333083006856991</v>
      </c>
      <c r="G18" s="112">
        <f t="shared" si="2"/>
        <v>1.9159386354923497E-2</v>
      </c>
    </row>
    <row r="19" spans="2:7" s="23" customFormat="1" x14ac:dyDescent="0.25">
      <c r="B19" s="126">
        <v>10</v>
      </c>
      <c r="C19" s="46">
        <v>35.983608273747407</v>
      </c>
      <c r="D19" s="46">
        <v>10.57</v>
      </c>
      <c r="E19" s="46">
        <f t="shared" ref="E19" si="3">C19-D19</f>
        <v>25.413608273747407</v>
      </c>
      <c r="F19" s="47">
        <f t="shared" ref="F19" si="4">0.027 * E19</f>
        <v>0.68616742339117998</v>
      </c>
      <c r="G19" s="112">
        <f t="shared" ref="G19" si="5">F19/C19</f>
        <v>1.9068888760991425E-2</v>
      </c>
    </row>
    <row r="20" spans="2:7" s="23" customFormat="1" x14ac:dyDescent="0.25">
      <c r="B20" s="150">
        <v>10.3</v>
      </c>
      <c r="C20" s="82">
        <v>37.43</v>
      </c>
      <c r="D20" s="82">
        <v>11.0076</v>
      </c>
      <c r="E20" s="82">
        <f t="shared" ref="E20" si="6">C20-D20</f>
        <v>26.4224</v>
      </c>
      <c r="F20" s="95">
        <f t="shared" ref="F20" si="7">0.027 * E20</f>
        <v>0.71340479999999995</v>
      </c>
      <c r="G20" s="111">
        <f t="shared" ref="G20" si="8">F20/C20</f>
        <v>1.9059706118087095E-2</v>
      </c>
    </row>
    <row r="21" spans="2:7" s="23" customFormat="1" x14ac:dyDescent="0.25">
      <c r="B21" s="126">
        <v>11</v>
      </c>
      <c r="C21" s="46">
        <v>40.920969268335227</v>
      </c>
      <c r="D21" s="46">
        <v>12.029432254869166</v>
      </c>
      <c r="E21" s="46">
        <f t="shared" si="0"/>
        <v>28.891537013466063</v>
      </c>
      <c r="F21" s="47">
        <f t="shared" si="1"/>
        <v>0.78007149936358366</v>
      </c>
      <c r="G21" s="112">
        <f t="shared" si="2"/>
        <v>1.9062879333290997E-2</v>
      </c>
    </row>
    <row r="22" spans="2:7" s="23" customFormat="1" x14ac:dyDescent="0.25">
      <c r="B22" s="150">
        <v>12</v>
      </c>
      <c r="C22" s="82">
        <v>45.921623136976415</v>
      </c>
      <c r="D22" s="82">
        <v>13.585376096861085</v>
      </c>
      <c r="E22" s="82">
        <f t="shared" si="0"/>
        <v>32.336247040115332</v>
      </c>
      <c r="F22" s="95">
        <f t="shared" si="1"/>
        <v>0.87307867008311391</v>
      </c>
      <c r="G22" s="111">
        <f t="shared" si="2"/>
        <v>1.9012365209279913E-2</v>
      </c>
    </row>
    <row r="23" spans="2:7" s="23" customFormat="1" x14ac:dyDescent="0.25">
      <c r="B23" s="150">
        <v>13</v>
      </c>
      <c r="C23" s="82">
        <v>50.562975543985615</v>
      </c>
      <c r="D23" s="82">
        <v>15.348906408306142</v>
      </c>
      <c r="E23" s="82">
        <f t="shared" si="0"/>
        <v>35.214069135679473</v>
      </c>
      <c r="F23" s="95">
        <f t="shared" si="1"/>
        <v>0.9507798666633458</v>
      </c>
      <c r="G23" s="111">
        <f t="shared" si="2"/>
        <v>1.8803874899257972E-2</v>
      </c>
    </row>
    <row r="24" spans="2:7" s="23" customFormat="1" x14ac:dyDescent="0.25">
      <c r="B24" s="126">
        <v>14</v>
      </c>
      <c r="C24" s="46">
        <v>54.528714320701638</v>
      </c>
      <c r="D24" s="46">
        <v>17.124620413679008</v>
      </c>
      <c r="E24" s="46">
        <f t="shared" si="0"/>
        <v>37.404093907022627</v>
      </c>
      <c r="F24" s="47">
        <f t="shared" si="1"/>
        <v>1.009910535489611</v>
      </c>
      <c r="G24" s="112">
        <f t="shared" si="2"/>
        <v>1.8520710566363049E-2</v>
      </c>
    </row>
    <row r="25" spans="2:7" s="23" customFormat="1" x14ac:dyDescent="0.25">
      <c r="B25" s="150">
        <v>15</v>
      </c>
      <c r="C25" s="82">
        <v>57.686469728875608</v>
      </c>
      <c r="D25" s="82">
        <v>18.673971324319435</v>
      </c>
      <c r="E25" s="82">
        <f t="shared" si="0"/>
        <v>39.012498404556169</v>
      </c>
      <c r="F25" s="95">
        <f t="shared" si="1"/>
        <v>1.0533374569230165</v>
      </c>
      <c r="G25" s="111">
        <f t="shared" si="2"/>
        <v>1.8259696977014989E-2</v>
      </c>
    </row>
    <row r="26" spans="2:7" s="23" customFormat="1" x14ac:dyDescent="0.25">
      <c r="B26" s="126">
        <v>16</v>
      </c>
      <c r="C26" s="46">
        <v>60.067673083421695</v>
      </c>
      <c r="D26" s="46">
        <v>19.902994144070295</v>
      </c>
      <c r="E26" s="46">
        <f t="shared" si="0"/>
        <v>40.164678939351404</v>
      </c>
      <c r="F26" s="47">
        <f t="shared" si="1"/>
        <v>1.0844463313624879</v>
      </c>
      <c r="G26" s="112">
        <f t="shared" si="2"/>
        <v>1.8053742981793453E-2</v>
      </c>
    </row>
    <row r="27" spans="2:7" s="23" customFormat="1" x14ac:dyDescent="0.25">
      <c r="B27" s="126">
        <v>17</v>
      </c>
      <c r="C27" s="46">
        <v>61.796641842834646</v>
      </c>
      <c r="D27" s="46">
        <v>20.829952620333941</v>
      </c>
      <c r="E27" s="46">
        <f t="shared" si="0"/>
        <v>40.966689222500705</v>
      </c>
      <c r="F27" s="47">
        <f t="shared" si="1"/>
        <v>1.1061006090075189</v>
      </c>
      <c r="G27" s="112">
        <f t="shared" si="2"/>
        <v>1.78990407249091E-2</v>
      </c>
    </row>
    <row r="28" spans="2:7" s="23" customFormat="1" x14ac:dyDescent="0.25">
      <c r="B28" s="126">
        <v>18</v>
      </c>
      <c r="C28" s="46">
        <v>63.023877266443805</v>
      </c>
      <c r="D28" s="46">
        <v>21.519108842429361</v>
      </c>
      <c r="E28" s="46">
        <f t="shared" si="0"/>
        <v>41.504768424014443</v>
      </c>
      <c r="F28" s="47">
        <f t="shared" si="1"/>
        <v>1.12062874744839</v>
      </c>
      <c r="G28" s="112">
        <f t="shared" si="2"/>
        <v>1.7781018814674757E-2</v>
      </c>
    </row>
    <row r="29" spans="2:7" s="23" customFormat="1" x14ac:dyDescent="0.25">
      <c r="B29" s="150">
        <v>19</v>
      </c>
      <c r="C29" s="82">
        <v>63.886643380924738</v>
      </c>
      <c r="D29" s="82">
        <v>22.040064700680919</v>
      </c>
      <c r="E29" s="82">
        <f t="shared" si="0"/>
        <v>41.846578680243823</v>
      </c>
      <c r="F29" s="95">
        <f t="shared" si="1"/>
        <v>1.1298576243665832</v>
      </c>
      <c r="G29" s="111">
        <f t="shared" si="2"/>
        <v>1.7685349621982736E-2</v>
      </c>
    </row>
    <row r="30" spans="2:7" s="23" customFormat="1" x14ac:dyDescent="0.25">
      <c r="B30" s="150">
        <v>20</v>
      </c>
      <c r="C30" s="82">
        <v>64.494109471333417</v>
      </c>
      <c r="D30" s="82">
        <v>22.450929791801286</v>
      </c>
      <c r="E30" s="82">
        <f t="shared" si="0"/>
        <v>42.04317967953213</v>
      </c>
      <c r="F30" s="95">
        <f t="shared" si="1"/>
        <v>1.1351658513473675</v>
      </c>
      <c r="G30" s="111">
        <f t="shared" si="2"/>
        <v>1.7601078000029292E-2</v>
      </c>
    </row>
    <row r="31" spans="2:7" s="23" customFormat="1" x14ac:dyDescent="0.25">
      <c r="B31" s="126">
        <v>21</v>
      </c>
      <c r="C31" s="46">
        <v>64.926599748981431</v>
      </c>
      <c r="D31" s="46">
        <v>22.794670443180298</v>
      </c>
      <c r="E31" s="46">
        <f t="shared" si="0"/>
        <v>42.131929305801137</v>
      </c>
      <c r="F31" s="47">
        <f t="shared" si="1"/>
        <v>1.1375620912566307</v>
      </c>
      <c r="G31" s="112">
        <f t="shared" si="2"/>
        <v>1.7520740276784273E-2</v>
      </c>
    </row>
    <row r="32" spans="2:7" s="23" customFormat="1" x14ac:dyDescent="0.25">
      <c r="B32" s="126">
        <v>22</v>
      </c>
      <c r="C32" s="46">
        <v>65.325791591348548</v>
      </c>
      <c r="D32" s="46">
        <v>23.148656638266587</v>
      </c>
      <c r="E32" s="46">
        <f t="shared" si="0"/>
        <v>42.177134953081961</v>
      </c>
      <c r="F32" s="47">
        <f t="shared" si="1"/>
        <v>1.1387826437332129</v>
      </c>
      <c r="G32" s="112">
        <f t="shared" si="2"/>
        <v>1.7432358889073581E-2</v>
      </c>
    </row>
    <row r="33" spans="2:12" s="24" customFormat="1" x14ac:dyDescent="0.25">
      <c r="B33" s="126">
        <v>23</v>
      </c>
      <c r="C33" s="46">
        <v>64.862678458374219</v>
      </c>
      <c r="D33" s="46">
        <v>23.047812743376241</v>
      </c>
      <c r="E33" s="46">
        <f t="shared" si="0"/>
        <v>41.814865714997978</v>
      </c>
      <c r="F33" s="47">
        <f t="shared" si="1"/>
        <v>1.1290013743049454</v>
      </c>
      <c r="G33" s="112">
        <f t="shared" si="2"/>
        <v>1.7406024560479488E-2</v>
      </c>
    </row>
    <row r="34" spans="2:12" s="24" customFormat="1" x14ac:dyDescent="0.25">
      <c r="B34" s="126">
        <v>24</v>
      </c>
      <c r="C34" s="46">
        <v>65.515418464770889</v>
      </c>
      <c r="D34" s="46">
        <v>23.593978828643639</v>
      </c>
      <c r="E34" s="46">
        <f t="shared" si="0"/>
        <v>41.921439636127246</v>
      </c>
      <c r="F34" s="47">
        <f t="shared" si="1"/>
        <v>1.1318788701754356</v>
      </c>
      <c r="G34" s="112">
        <f t="shared" si="2"/>
        <v>1.7276526605474896E-2</v>
      </c>
    </row>
    <row r="35" spans="2:12" s="24" customFormat="1" x14ac:dyDescent="0.25">
      <c r="B35" s="150">
        <v>25</v>
      </c>
      <c r="C35" s="82">
        <v>66.142514055682611</v>
      </c>
      <c r="D35" s="82">
        <v>24.150239799576294</v>
      </c>
      <c r="E35" s="82">
        <f t="shared" si="0"/>
        <v>41.992274256106313</v>
      </c>
      <c r="F35" s="95">
        <f t="shared" si="1"/>
        <v>1.1337914049148705</v>
      </c>
      <c r="G35" s="111">
        <f t="shared" si="2"/>
        <v>1.7141643632722806E-2</v>
      </c>
      <c r="J35" s="329" t="s">
        <v>231</v>
      </c>
      <c r="K35" s="330"/>
      <c r="L35" s="331"/>
    </row>
    <row r="36" spans="2:12" s="24" customFormat="1" ht="30" x14ac:dyDescent="0.25">
      <c r="B36" s="126">
        <v>26</v>
      </c>
      <c r="C36" s="46">
        <v>66.744027504995557</v>
      </c>
      <c r="D36" s="46">
        <v>24.553836927417613</v>
      </c>
      <c r="E36" s="46">
        <f t="shared" si="0"/>
        <v>42.190190577577944</v>
      </c>
      <c r="F36" s="47">
        <f t="shared" si="1"/>
        <v>1.1391351455946044</v>
      </c>
      <c r="G36" s="112">
        <f t="shared" si="2"/>
        <v>1.7067222164699965E-2</v>
      </c>
      <c r="J36" s="115" t="s">
        <v>15</v>
      </c>
      <c r="K36" s="116" t="s">
        <v>232</v>
      </c>
      <c r="L36" s="115" t="s">
        <v>233</v>
      </c>
    </row>
    <row r="37" spans="2:12" s="24" customFormat="1" x14ac:dyDescent="0.25">
      <c r="B37" s="126">
        <v>27</v>
      </c>
      <c r="C37" s="46">
        <v>67.320021086595901</v>
      </c>
      <c r="D37" s="46">
        <v>24.943770494315718</v>
      </c>
      <c r="E37" s="46">
        <f t="shared" si="0"/>
        <v>42.376250592280186</v>
      </c>
      <c r="F37" s="47">
        <f t="shared" si="1"/>
        <v>1.1441587659915651</v>
      </c>
      <c r="G37" s="112">
        <f t="shared" si="2"/>
        <v>1.6995817106471148E-2</v>
      </c>
      <c r="J37" s="115" t="s">
        <v>234</v>
      </c>
      <c r="K37" s="115">
        <v>54</v>
      </c>
      <c r="L37" s="115"/>
    </row>
    <row r="38" spans="2:12" s="24" customFormat="1" x14ac:dyDescent="0.25">
      <c r="B38" s="126">
        <v>28</v>
      </c>
      <c r="C38" s="46">
        <v>67.870557074369813</v>
      </c>
      <c r="D38" s="46">
        <v>25.319840642226225</v>
      </c>
      <c r="E38" s="46">
        <f t="shared" si="0"/>
        <v>42.550716432143588</v>
      </c>
      <c r="F38" s="47">
        <f t="shared" si="1"/>
        <v>1.148869343667877</v>
      </c>
      <c r="G38" s="112">
        <f t="shared" si="2"/>
        <v>1.6927359862524666E-2</v>
      </c>
      <c r="J38" s="115">
        <v>1</v>
      </c>
      <c r="K38" s="115">
        <v>155</v>
      </c>
      <c r="L38" s="115">
        <f>0.1577*1000</f>
        <v>157.70000000000002</v>
      </c>
    </row>
    <row r="39" spans="2:12" s="24" customFormat="1" x14ac:dyDescent="0.25">
      <c r="B39" s="126">
        <v>29</v>
      </c>
      <c r="C39" s="46">
        <v>68.395697742203453</v>
      </c>
      <c r="D39" s="46">
        <v>25.681863100863808</v>
      </c>
      <c r="E39" s="46">
        <f t="shared" si="0"/>
        <v>42.713834641339645</v>
      </c>
      <c r="F39" s="47">
        <f t="shared" si="1"/>
        <v>1.1532735353161705</v>
      </c>
      <c r="G39" s="112">
        <f t="shared" si="2"/>
        <v>1.686178478159665E-2</v>
      </c>
      <c r="J39" s="115">
        <v>5</v>
      </c>
      <c r="K39" s="115">
        <v>390</v>
      </c>
      <c r="L39" s="115">
        <f>0.3733*1000</f>
        <v>373.3</v>
      </c>
    </row>
    <row r="40" spans="2:12" s="24" customFormat="1" x14ac:dyDescent="0.25">
      <c r="B40" s="126">
        <v>30</v>
      </c>
      <c r="C40" s="46">
        <v>68.895505363983034</v>
      </c>
      <c r="D40" s="46">
        <v>26.02966823601836</v>
      </c>
      <c r="E40" s="46">
        <f t="shared" si="0"/>
        <v>42.865837127964674</v>
      </c>
      <c r="F40" s="47">
        <f t="shared" si="1"/>
        <v>1.1573776024550462</v>
      </c>
      <c r="G40" s="112">
        <f t="shared" si="2"/>
        <v>1.6799029143345193E-2</v>
      </c>
      <c r="J40" s="115">
        <v>10</v>
      </c>
      <c r="K40" s="115">
        <v>665</v>
      </c>
      <c r="L40" s="115">
        <f>0.6861*1000</f>
        <v>686.1</v>
      </c>
    </row>
    <row r="41" spans="2:12" s="24" customFormat="1" x14ac:dyDescent="0.25">
      <c r="B41" s="126">
        <v>31</v>
      </c>
      <c r="C41" s="46">
        <v>69.370042213594715</v>
      </c>
      <c r="D41" s="46">
        <v>26.363100160507347</v>
      </c>
      <c r="E41" s="46">
        <f t="shared" si="0"/>
        <v>43.006942053087371</v>
      </c>
      <c r="F41" s="47">
        <f t="shared" si="1"/>
        <v>1.1611874354333591</v>
      </c>
      <c r="G41" s="112">
        <f t="shared" si="2"/>
        <v>1.6739033138512299E-2</v>
      </c>
      <c r="J41" s="115">
        <v>15</v>
      </c>
      <c r="K41" s="115">
        <v>940</v>
      </c>
      <c r="L41" s="115">
        <f>1.0533*1000</f>
        <v>1053.3</v>
      </c>
    </row>
    <row r="42" spans="2:12" s="24" customFormat="1" x14ac:dyDescent="0.25">
      <c r="B42" s="126">
        <v>32</v>
      </c>
      <c r="C42" s="46">
        <v>69.819370564924668</v>
      </c>
      <c r="D42" s="46">
        <v>26.68201589581523</v>
      </c>
      <c r="E42" s="46">
        <f t="shared" si="0"/>
        <v>43.137354669109442</v>
      </c>
      <c r="F42" s="47">
        <f t="shared" si="1"/>
        <v>1.164708576065955</v>
      </c>
      <c r="G42" s="112">
        <f t="shared" si="2"/>
        <v>1.6681739847294937E-2</v>
      </c>
      <c r="J42" s="115" t="s">
        <v>235</v>
      </c>
      <c r="K42" s="115">
        <v>1100</v>
      </c>
      <c r="L42" s="115">
        <f>1.1338*1000</f>
        <v>1133.8</v>
      </c>
    </row>
    <row r="43" spans="2:12" s="24" customFormat="1" x14ac:dyDescent="0.25">
      <c r="B43" s="126">
        <v>33</v>
      </c>
      <c r="C43" s="46">
        <v>70.243552691859051</v>
      </c>
      <c r="D43" s="46">
        <v>26.986284580539809</v>
      </c>
      <c r="E43" s="46">
        <f t="shared" si="0"/>
        <v>43.257268111319242</v>
      </c>
      <c r="F43" s="47">
        <f t="shared" si="1"/>
        <v>1.1679462390056194</v>
      </c>
      <c r="G43" s="112">
        <f t="shared" si="2"/>
        <v>1.6627095217252297E-2</v>
      </c>
    </row>
    <row r="44" spans="2:12" s="24" customFormat="1" x14ac:dyDescent="0.25">
      <c r="B44" s="126">
        <v>34</v>
      </c>
      <c r="C44" s="46">
        <v>70.642650868284093</v>
      </c>
      <c r="D44" s="46">
        <v>27.275786724060232</v>
      </c>
      <c r="E44" s="46">
        <f t="shared" si="0"/>
        <v>43.366864144223861</v>
      </c>
      <c r="F44" s="47">
        <f t="shared" si="1"/>
        <v>1.1709053318940443</v>
      </c>
      <c r="G44" s="112">
        <f t="shared" si="2"/>
        <v>1.6575048041122378E-2</v>
      </c>
    </row>
    <row r="45" spans="2:12" s="24" customFormat="1" x14ac:dyDescent="0.25">
      <c r="B45" s="126">
        <v>35</v>
      </c>
      <c r="C45" s="46">
        <v>71.016727368085924</v>
      </c>
      <c r="D45" s="46">
        <v>27.550413504496682</v>
      </c>
      <c r="E45" s="46">
        <f t="shared" si="0"/>
        <v>43.466313863589242</v>
      </c>
      <c r="F45" s="47">
        <f t="shared" si="1"/>
        <v>1.1735904743169094</v>
      </c>
      <c r="G45" s="112">
        <f t="shared" si="2"/>
        <v>1.6525549934652536E-2</v>
      </c>
    </row>
    <row r="46" spans="2:12" s="24" customFormat="1" x14ac:dyDescent="0.25">
      <c r="B46" s="126">
        <v>36</v>
      </c>
      <c r="C46" s="46">
        <v>71.365844465150758</v>
      </c>
      <c r="D46" s="46">
        <v>27.810066110220738</v>
      </c>
      <c r="E46" s="46">
        <f t="shared" si="0"/>
        <v>43.55577835493002</v>
      </c>
      <c r="F46" s="47">
        <f t="shared" si="1"/>
        <v>1.1760060155831105</v>
      </c>
      <c r="G46" s="112">
        <f t="shared" si="2"/>
        <v>1.6478555314473658E-2</v>
      </c>
    </row>
    <row r="47" spans="2:12" s="24" customFormat="1" x14ac:dyDescent="0.25">
      <c r="B47" s="126">
        <v>37</v>
      </c>
      <c r="C47" s="46">
        <v>71.690064433364697</v>
      </c>
      <c r="D47" s="46">
        <v>28.054655124231434</v>
      </c>
      <c r="E47" s="46">
        <f t="shared" si="0"/>
        <v>43.635409309133266</v>
      </c>
      <c r="F47" s="47">
        <f t="shared" si="1"/>
        <v>1.1781560513465981</v>
      </c>
      <c r="G47" s="112">
        <f t="shared" si="2"/>
        <v>1.6434021376026019E-2</v>
      </c>
    </row>
    <row r="48" spans="2:12" s="24" customFormat="1" x14ac:dyDescent="0.25">
      <c r="B48" s="126">
        <v>38</v>
      </c>
      <c r="C48" s="46">
        <v>71.989449546614026</v>
      </c>
      <c r="D48" s="46">
        <v>28.284099950732102</v>
      </c>
      <c r="E48" s="46">
        <f t="shared" si="0"/>
        <v>43.705349595881927</v>
      </c>
      <c r="F48" s="47">
        <f t="shared" si="1"/>
        <v>1.1800444390888121</v>
      </c>
      <c r="G48" s="112">
        <f t="shared" si="2"/>
        <v>1.6391908071539278E-2</v>
      </c>
    </row>
    <row r="49" spans="2:7" s="24" customFormat="1" x14ac:dyDescent="0.25">
      <c r="B49" s="126">
        <v>39</v>
      </c>
      <c r="C49" s="46">
        <v>72.264062078784832</v>
      </c>
      <c r="D49" s="46">
        <v>28.498328283250093</v>
      </c>
      <c r="E49" s="46">
        <f t="shared" si="0"/>
        <v>43.765733795534743</v>
      </c>
      <c r="F49" s="47">
        <f t="shared" si="1"/>
        <v>1.1816748124794381</v>
      </c>
      <c r="G49" s="112">
        <f t="shared" si="2"/>
        <v>1.6352178088067267E-2</v>
      </c>
    </row>
    <row r="50" spans="2:7" s="24" customFormat="1" x14ac:dyDescent="0.25">
      <c r="B50" s="126">
        <v>40</v>
      </c>
      <c r="C50" s="46">
        <v>72.513964303763331</v>
      </c>
      <c r="D50" s="46">
        <v>28.697275613648966</v>
      </c>
      <c r="E50" s="46">
        <f t="shared" si="0"/>
        <v>43.816688690114361</v>
      </c>
      <c r="F50" s="47">
        <f t="shared" si="1"/>
        <v>1.1830505946330878</v>
      </c>
      <c r="G50" s="112">
        <f t="shared" si="2"/>
        <v>1.6314796825577633E-2</v>
      </c>
    </row>
    <row r="51" spans="2:7" s="24" customFormat="1" x14ac:dyDescent="0.25">
      <c r="B51" s="126">
        <v>41</v>
      </c>
      <c r="C51" s="46">
        <v>72.739218495435694</v>
      </c>
      <c r="D51" s="46">
        <v>28.880884781385031</v>
      </c>
      <c r="E51" s="46">
        <f t="shared" si="0"/>
        <v>43.858333714050659</v>
      </c>
      <c r="F51" s="47">
        <f t="shared" si="1"/>
        <v>1.1841750102793678</v>
      </c>
      <c r="G51" s="112">
        <f t="shared" si="2"/>
        <v>1.627973237509657E-2</v>
      </c>
    </row>
    <row r="52" spans="2:7" s="24" customFormat="1" x14ac:dyDescent="0.25">
      <c r="B52" s="126">
        <v>42</v>
      </c>
      <c r="C52" s="46">
        <v>72.939886927688079</v>
      </c>
      <c r="D52" s="46">
        <v>29.049105562366467</v>
      </c>
      <c r="E52" s="46">
        <f t="shared" si="0"/>
        <v>43.890781365321615</v>
      </c>
      <c r="F52" s="47">
        <f t="shared" si="1"/>
        <v>1.1850510968636836</v>
      </c>
      <c r="G52" s="112">
        <f t="shared" si="2"/>
        <v>1.6246955496908463E-2</v>
      </c>
    </row>
    <row r="53" spans="2:7" s="24" customFormat="1" x14ac:dyDescent="0.25">
      <c r="B53" s="126">
        <v>43</v>
      </c>
      <c r="C53" s="46">
        <v>73.116031874406701</v>
      </c>
      <c r="D53" s="46">
        <v>29.201894296776135</v>
      </c>
      <c r="E53" s="46">
        <f t="shared" si="0"/>
        <v>43.914137577630569</v>
      </c>
      <c r="F53" s="47">
        <f t="shared" si="1"/>
        <v>1.1856817145960254</v>
      </c>
      <c r="G53" s="112">
        <f t="shared" si="2"/>
        <v>1.621643959881058E-2</v>
      </c>
    </row>
    <row r="54" spans="2:7" s="24" customFormat="1" x14ac:dyDescent="0.25">
      <c r="B54" s="126">
        <v>44</v>
      </c>
      <c r="C54" s="46">
        <v>73.26771560947769</v>
      </c>
      <c r="D54" s="46">
        <v>29.339213555224038</v>
      </c>
      <c r="E54" s="46">
        <f t="shared" si="0"/>
        <v>43.928502054253656</v>
      </c>
      <c r="F54" s="47">
        <f t="shared" si="1"/>
        <v>1.1860695554648486</v>
      </c>
      <c r="G54" s="112">
        <f t="shared" si="2"/>
        <v>1.6188160714422795E-2</v>
      </c>
    </row>
    <row r="55" spans="2:7" s="24" customFormat="1" x14ac:dyDescent="0.25">
      <c r="B55" s="126">
        <v>45</v>
      </c>
      <c r="C55" s="46">
        <v>73.395000406787247</v>
      </c>
      <c r="D55" s="46">
        <v>29.461031842599596</v>
      </c>
      <c r="E55" s="46">
        <f t="shared" si="0"/>
        <v>43.933968564187651</v>
      </c>
      <c r="F55" s="47">
        <f t="shared" si="1"/>
        <v>1.1862171512330666</v>
      </c>
      <c r="G55" s="112">
        <f t="shared" si="2"/>
        <v>1.6162097481552305E-2</v>
      </c>
    </row>
    <row r="56" spans="2:7" s="24" customFormat="1" x14ac:dyDescent="0.25">
      <c r="B56" s="126">
        <v>46</v>
      </c>
      <c r="C56" s="46">
        <v>73.497948540221557</v>
      </c>
      <c r="D56" s="46">
        <v>29.567323338997884</v>
      </c>
      <c r="E56" s="46">
        <f t="shared" si="0"/>
        <v>43.930625201223677</v>
      </c>
      <c r="F56" s="47">
        <f t="shared" si="1"/>
        <v>1.1861268804330392</v>
      </c>
      <c r="G56" s="112">
        <f t="shared" si="2"/>
        <v>1.613823112061331E-2</v>
      </c>
    </row>
    <row r="57" spans="2:7" s="24" customFormat="1" x14ac:dyDescent="0.25">
      <c r="B57" s="126">
        <v>47</v>
      </c>
      <c r="C57" s="46">
        <v>73.576622283666779</v>
      </c>
      <c r="D57" s="46">
        <v>29.65806767709817</v>
      </c>
      <c r="E57" s="46">
        <f t="shared" si="0"/>
        <v>43.918554606568605</v>
      </c>
      <c r="F57" s="47">
        <f t="shared" si="1"/>
        <v>1.1858009743773523</v>
      </c>
      <c r="G57" s="112">
        <f t="shared" si="2"/>
        <v>1.6116545413101785E-2</v>
      </c>
    </row>
    <row r="58" spans="2:7" s="24" customFormat="1" x14ac:dyDescent="0.25">
      <c r="B58" s="126">
        <v>48</v>
      </c>
      <c r="C58" s="46">
        <v>73.6310839110091</v>
      </c>
      <c r="D58" s="46">
        <v>29.733249755377621</v>
      </c>
      <c r="E58" s="46">
        <f t="shared" si="0"/>
        <v>43.897834155631479</v>
      </c>
      <c r="F58" s="47">
        <f t="shared" si="1"/>
        <v>1.1852415222020498</v>
      </c>
      <c r="G58" s="112">
        <f t="shared" si="2"/>
        <v>1.6097026680125186E-2</v>
      </c>
    </row>
    <row r="59" spans="2:7" s="24" customFormat="1" x14ac:dyDescent="0.25">
      <c r="B59" s="150">
        <v>49</v>
      </c>
      <c r="C59" s="82">
        <v>73.66139569613469</v>
      </c>
      <c r="D59" s="82">
        <v>29.792859586546619</v>
      </c>
      <c r="E59" s="82">
        <f t="shared" si="0"/>
        <v>43.868536109588071</v>
      </c>
      <c r="F59" s="95">
        <f t="shared" si="1"/>
        <v>1.184450474958878</v>
      </c>
      <c r="G59" s="111">
        <f t="shared" si="2"/>
        <v>1.6079663760987236E-2</v>
      </c>
    </row>
    <row r="60" spans="2:7" s="24" customFormat="1" x14ac:dyDescent="0.25">
      <c r="B60" s="150">
        <v>50</v>
      </c>
      <c r="C60" s="82">
        <v>73.667619912929737</v>
      </c>
      <c r="D60" s="82">
        <v>29.836892180596941</v>
      </c>
      <c r="E60" s="82">
        <f t="shared" si="0"/>
        <v>43.830727732332797</v>
      </c>
      <c r="F60" s="95">
        <f t="shared" si="1"/>
        <v>1.1834296487729854</v>
      </c>
      <c r="G60" s="111">
        <f t="shared" si="2"/>
        <v>1.6064447991827633E-2</v>
      </c>
    </row>
    <row r="61" spans="2:7" s="24" customFormat="1" x14ac:dyDescent="0.25">
      <c r="B61" s="126">
        <v>51</v>
      </c>
      <c r="C61" s="46">
        <v>73.649818835280385</v>
      </c>
      <c r="D61" s="46">
        <v>29.865347461857606</v>
      </c>
      <c r="E61" s="46">
        <f t="shared" si="0"/>
        <v>43.784471373422775</v>
      </c>
      <c r="F61" s="47">
        <f t="shared" si="1"/>
        <v>1.182180727082415</v>
      </c>
      <c r="G61" s="112">
        <f t="shared" si="2"/>
        <v>1.6051373184316868E-2</v>
      </c>
    </row>
    <row r="62" spans="2:7" s="24" customFormat="1" x14ac:dyDescent="0.25">
      <c r="B62" s="126">
        <v>52</v>
      </c>
      <c r="C62" s="46">
        <v>73.608054737072848</v>
      </c>
      <c r="D62" s="46">
        <v>29.878230219457762</v>
      </c>
      <c r="E62" s="46">
        <f t="shared" si="0"/>
        <v>43.729824517615086</v>
      </c>
      <c r="F62" s="47">
        <f t="shared" si="1"/>
        <v>1.1807052619756073</v>
      </c>
      <c r="G62" s="112">
        <f t="shared" si="2"/>
        <v>1.6040435604405975E-2</v>
      </c>
    </row>
    <row r="63" spans="2:7" s="24" customFormat="1" x14ac:dyDescent="0.25">
      <c r="B63" s="126">
        <v>53</v>
      </c>
      <c r="C63" s="46">
        <v>73.542389892193299</v>
      </c>
      <c r="D63" s="46">
        <v>29.875550090599841</v>
      </c>
      <c r="E63" s="46">
        <f t="shared" si="0"/>
        <v>43.666839801593454</v>
      </c>
      <c r="F63" s="47">
        <f t="shared" si="1"/>
        <v>1.1790046746430232</v>
      </c>
      <c r="G63" s="112">
        <f t="shared" si="2"/>
        <v>1.6031633951131323E-2</v>
      </c>
    </row>
    <row r="64" spans="2:7" s="24" customFormat="1" x14ac:dyDescent="0.25">
      <c r="B64" s="126">
        <v>54</v>
      </c>
      <c r="C64" s="46">
        <v>73.452886574527895</v>
      </c>
      <c r="D64" s="46">
        <v>29.857321576050477</v>
      </c>
      <c r="E64" s="46">
        <f t="shared" si="0"/>
        <v>43.595564998477414</v>
      </c>
      <c r="F64" s="47">
        <f t="shared" si="1"/>
        <v>1.1770802549588901</v>
      </c>
      <c r="G64" s="112">
        <f t="shared" si="2"/>
        <v>1.6024969335474419E-2</v>
      </c>
    </row>
    <row r="65" spans="2:7" s="2" customFormat="1" x14ac:dyDescent="0.25">
      <c r="B65" s="126">
        <v>55</v>
      </c>
      <c r="C65" s="46">
        <v>73.339607057962809</v>
      </c>
      <c r="D65" s="46">
        <v>29.823564087260724</v>
      </c>
      <c r="E65" s="46">
        <f t="shared" si="0"/>
        <v>43.516042970702088</v>
      </c>
      <c r="F65" s="47">
        <f t="shared" si="1"/>
        <v>1.1749331602089563</v>
      </c>
      <c r="G65" s="112">
        <f t="shared" si="2"/>
        <v>1.6020445259276702E-2</v>
      </c>
    </row>
    <row r="66" spans="2:7" s="2" customFormat="1" x14ac:dyDescent="0.25">
      <c r="B66" s="126">
        <v>56</v>
      </c>
      <c r="C66" s="46">
        <v>73.202613616384227</v>
      </c>
      <c r="D66" s="46">
        <v>29.774302024531153</v>
      </c>
      <c r="E66" s="46">
        <f t="shared" si="0"/>
        <v>43.428311591853074</v>
      </c>
      <c r="F66" s="47">
        <f t="shared" si="1"/>
        <v>1.172564412980033</v>
      </c>
      <c r="G66" s="112">
        <f t="shared" si="2"/>
        <v>1.6018067594209359E-2</v>
      </c>
    </row>
    <row r="67" spans="2:7" s="2" customFormat="1" x14ac:dyDescent="0.25">
      <c r="B67" s="126">
        <v>57</v>
      </c>
      <c r="C67" s="46">
        <v>73.041968523678321</v>
      </c>
      <c r="D67" s="46">
        <v>29.709564885641576</v>
      </c>
      <c r="E67" s="46">
        <f t="shared" si="0"/>
        <v>43.332403638036745</v>
      </c>
      <c r="F67" s="47">
        <f t="shared" si="1"/>
        <v>1.1699748982269922</v>
      </c>
      <c r="G67" s="112">
        <f t="shared" si="2"/>
        <v>1.6017844560798175E-2</v>
      </c>
    </row>
    <row r="68" spans="2:7" s="2" customFormat="1" x14ac:dyDescent="0.25">
      <c r="B68" s="150">
        <v>58</v>
      </c>
      <c r="C68" s="82">
        <v>72.857734053731278</v>
      </c>
      <c r="D68" s="82">
        <v>29.629387404369151</v>
      </c>
      <c r="E68" s="82">
        <f t="shared" si="0"/>
        <v>43.228346649362123</v>
      </c>
      <c r="F68" s="95">
        <f t="shared" si="1"/>
        <v>1.1671653595327773</v>
      </c>
      <c r="G68" s="111">
        <f t="shared" si="2"/>
        <v>1.6019786707503335E-2</v>
      </c>
    </row>
    <row r="69" spans="2:7" s="2" customFormat="1" x14ac:dyDescent="0.25">
      <c r="B69" s="126">
        <v>59</v>
      </c>
      <c r="C69" s="46">
        <v>72.64997248042927</v>
      </c>
      <c r="D69" s="46">
        <v>29.533809718322768</v>
      </c>
      <c r="E69" s="46">
        <f t="shared" si="0"/>
        <v>43.116162762106498</v>
      </c>
      <c r="F69" s="47">
        <f t="shared" si="1"/>
        <v>1.1641363945768755</v>
      </c>
      <c r="G69" s="112">
        <f t="shared" si="2"/>
        <v>1.6023906889854295E-2</v>
      </c>
    </row>
    <row r="70" spans="2:7" s="2" customFormat="1" x14ac:dyDescent="0.25">
      <c r="B70" s="150">
        <v>60</v>
      </c>
      <c r="C70" s="82">
        <v>72.418746077658469</v>
      </c>
      <c r="D70" s="82">
        <v>29.422877565525511</v>
      </c>
      <c r="E70" s="82">
        <f t="shared" si="0"/>
        <v>42.995868512132958</v>
      </c>
      <c r="F70" s="95">
        <f t="shared" si="1"/>
        <v>1.1608884498275898</v>
      </c>
      <c r="G70" s="111">
        <f t="shared" si="2"/>
        <v>1.6030220249639609E-2</v>
      </c>
    </row>
    <row r="71" spans="2:7" s="2" customFormat="1" x14ac:dyDescent="0.25"/>
    <row r="72" spans="2:7" s="2" customFormat="1" x14ac:dyDescent="0.25"/>
    <row r="73" spans="2:7" s="2" customFormat="1" x14ac:dyDescent="0.25"/>
    <row r="74" spans="2:7" s="2" customFormat="1" x14ac:dyDescent="0.25"/>
    <row r="75" spans="2:7" s="2" customFormat="1" x14ac:dyDescent="0.25"/>
    <row r="76" spans="2:7" s="2" customFormat="1" x14ac:dyDescent="0.25"/>
    <row r="77" spans="2:7" s="2" customFormat="1" x14ac:dyDescent="0.25"/>
    <row r="78" spans="2:7" s="2" customFormat="1" x14ac:dyDescent="0.25"/>
    <row r="79" spans="2:7" s="2" customFormat="1" x14ac:dyDescent="0.25"/>
    <row r="80" spans="2:7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</sheetData>
  <mergeCells count="2">
    <mergeCell ref="B1:E1"/>
    <mergeCell ref="J35:L35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F70"/>
  <sheetViews>
    <sheetView topLeftCell="A37" zoomScale="90" zoomScaleNormal="90" workbookViewId="0">
      <selection activeCell="F7" sqref="F7:F70"/>
    </sheetView>
  </sheetViews>
  <sheetFormatPr defaultRowHeight="15" x14ac:dyDescent="0.25"/>
  <cols>
    <col min="2" max="2" width="15.140625" customWidth="1"/>
    <col min="3" max="3" width="26.7109375" customWidth="1"/>
    <col min="4" max="4" width="19.7109375" customWidth="1"/>
    <col min="5" max="5" width="13.5703125" customWidth="1"/>
    <col min="6" max="6" width="12.85546875" style="214" customWidth="1"/>
  </cols>
  <sheetData>
    <row r="2" spans="2:6" ht="15.75" x14ac:dyDescent="0.25">
      <c r="B2" s="334" t="s">
        <v>183</v>
      </c>
      <c r="C2" s="334"/>
      <c r="D2" s="334"/>
    </row>
    <row r="3" spans="2:6" ht="48.75" customHeight="1" x14ac:dyDescent="0.25">
      <c r="B3" s="66" t="s">
        <v>184</v>
      </c>
      <c r="C3" s="66" t="s">
        <v>185</v>
      </c>
      <c r="D3" s="66" t="s">
        <v>228</v>
      </c>
    </row>
    <row r="4" spans="2:6" ht="15.75" x14ac:dyDescent="0.25">
      <c r="B4" s="66" t="s">
        <v>186</v>
      </c>
      <c r="C4" s="66"/>
      <c r="D4" s="66" t="s">
        <v>187</v>
      </c>
    </row>
    <row r="6" spans="2:6" ht="31.5" x14ac:dyDescent="0.25">
      <c r="B6" s="151" t="s">
        <v>15</v>
      </c>
      <c r="C6" s="78" t="s">
        <v>21</v>
      </c>
      <c r="D6" s="75" t="s">
        <v>128</v>
      </c>
      <c r="E6" s="75" t="s">
        <v>188</v>
      </c>
      <c r="F6" s="215" t="s">
        <v>189</v>
      </c>
    </row>
    <row r="7" spans="2:6" ht="15.75" x14ac:dyDescent="0.25">
      <c r="B7" s="144">
        <v>0.5</v>
      </c>
      <c r="C7" s="82">
        <v>6.9154266082630542</v>
      </c>
      <c r="D7" s="95">
        <v>0.1168528009553538</v>
      </c>
      <c r="E7" s="95">
        <f>2.464*D7</f>
        <v>0.28792530155399176</v>
      </c>
      <c r="F7" s="216">
        <f>E7/C7</f>
        <v>4.1635219034781991E-2</v>
      </c>
    </row>
    <row r="8" spans="2:6" ht="15.75" x14ac:dyDescent="0.25">
      <c r="B8" s="152">
        <v>1</v>
      </c>
      <c r="C8" s="82">
        <v>9.3633691865002202</v>
      </c>
      <c r="D8" s="95">
        <v>0.15774521921112697</v>
      </c>
      <c r="E8" s="95">
        <f t="shared" ref="E8:E70" si="0">2.464*D8</f>
        <v>0.38868422013621684</v>
      </c>
      <c r="F8" s="216">
        <f t="shared" ref="F8:F70" si="1">E8/C8</f>
        <v>4.1511149714849246E-2</v>
      </c>
    </row>
    <row r="9" spans="2:6" s="161" customFormat="1" ht="15.75" x14ac:dyDescent="0.25">
      <c r="B9" s="152">
        <v>1.5</v>
      </c>
      <c r="C9" s="82">
        <v>11.3</v>
      </c>
      <c r="D9" s="95">
        <v>0.27379999999999999</v>
      </c>
      <c r="E9" s="95">
        <f t="shared" ref="E9" si="2">2.464*D9</f>
        <v>0.6746432</v>
      </c>
      <c r="F9" s="216">
        <f t="shared" ref="F9" si="3">E9/C9</f>
        <v>5.9702938053097343E-2</v>
      </c>
    </row>
    <row r="10" spans="2:6" ht="15.75" x14ac:dyDescent="0.25">
      <c r="B10" s="152">
        <v>2</v>
      </c>
      <c r="C10" s="82">
        <v>12.915540493605725</v>
      </c>
      <c r="D10" s="95">
        <v>0.22366432689896434</v>
      </c>
      <c r="E10" s="95">
        <f t="shared" si="0"/>
        <v>0.55110890147904812</v>
      </c>
      <c r="F10" s="216">
        <f t="shared" si="1"/>
        <v>4.2670215911745482E-2</v>
      </c>
    </row>
    <row r="11" spans="2:6" ht="15.75" x14ac:dyDescent="0.25">
      <c r="B11" s="152">
        <v>3</v>
      </c>
      <c r="C11" s="82">
        <v>15.501380986241351</v>
      </c>
      <c r="D11" s="95">
        <v>0.27599634850784965</v>
      </c>
      <c r="E11" s="95">
        <f t="shared" si="0"/>
        <v>0.68005500272334152</v>
      </c>
      <c r="F11" s="216">
        <f t="shared" si="1"/>
        <v>4.3870607614053342E-2</v>
      </c>
    </row>
    <row r="12" spans="2:6" ht="15.75" x14ac:dyDescent="0.25">
      <c r="B12" s="153">
        <v>4</v>
      </c>
      <c r="C12" s="46">
        <v>17.658377373442054</v>
      </c>
      <c r="D12" s="47">
        <v>0.32559213408943555</v>
      </c>
      <c r="E12" s="47">
        <f t="shared" si="0"/>
        <v>0.80225901839636915</v>
      </c>
      <c r="F12" s="217">
        <f t="shared" si="1"/>
        <v>4.5432204864018548E-2</v>
      </c>
    </row>
    <row r="13" spans="2:6" s="161" customFormat="1" ht="15.75" x14ac:dyDescent="0.25">
      <c r="B13" s="152">
        <v>4.5</v>
      </c>
      <c r="C13" s="82">
        <v>18.68</v>
      </c>
      <c r="D13" s="95">
        <v>0.34963</v>
      </c>
      <c r="E13" s="95">
        <f t="shared" si="0"/>
        <v>0.86148831999999997</v>
      </c>
      <c r="F13" s="216">
        <f t="shared" si="1"/>
        <v>4.6118218415417557E-2</v>
      </c>
    </row>
    <row r="14" spans="2:6" ht="15.75" x14ac:dyDescent="0.25">
      <c r="B14" s="152">
        <v>5</v>
      </c>
      <c r="C14" s="82">
        <v>19.714719894457716</v>
      </c>
      <c r="D14" s="95">
        <v>0.37333551218219468</v>
      </c>
      <c r="E14" s="95">
        <f t="shared" si="0"/>
        <v>0.91989870201692769</v>
      </c>
      <c r="F14" s="216">
        <f t="shared" si="1"/>
        <v>4.6660500729484543E-2</v>
      </c>
    </row>
    <row r="15" spans="2:6" ht="15.75" x14ac:dyDescent="0.25">
      <c r="B15" s="153">
        <v>6</v>
      </c>
      <c r="C15" s="46">
        <v>21.923103271580395</v>
      </c>
      <c r="D15" s="47">
        <v>0.42153085051595862</v>
      </c>
      <c r="E15" s="47">
        <f t="shared" si="0"/>
        <v>1.0386520156713219</v>
      </c>
      <c r="F15" s="217">
        <f t="shared" si="1"/>
        <v>4.7377052546103686E-2</v>
      </c>
    </row>
    <row r="16" spans="2:6" ht="15.75" x14ac:dyDescent="0.25">
      <c r="B16" s="153">
        <v>7</v>
      </c>
      <c r="C16" s="46">
        <v>24.506577270969409</v>
      </c>
      <c r="D16" s="47">
        <v>0.4737283690936071</v>
      </c>
      <c r="E16" s="47">
        <f t="shared" si="0"/>
        <v>1.1672667014466478</v>
      </c>
      <c r="F16" s="217">
        <f t="shared" si="1"/>
        <v>4.7630751881022435E-2</v>
      </c>
    </row>
    <row r="17" spans="2:6" ht="15.75" x14ac:dyDescent="0.25">
      <c r="B17" s="153">
        <v>8</v>
      </c>
      <c r="C17" s="46">
        <v>27.656408486783047</v>
      </c>
      <c r="D17" s="47">
        <v>0.53333100386401844</v>
      </c>
      <c r="E17" s="47">
        <f t="shared" si="0"/>
        <v>1.3141275935209413</v>
      </c>
      <c r="F17" s="217">
        <f t="shared" si="1"/>
        <v>4.7516205661662855E-2</v>
      </c>
    </row>
    <row r="18" spans="2:6" ht="15.75" x14ac:dyDescent="0.25">
      <c r="B18" s="153">
        <v>9</v>
      </c>
      <c r="C18" s="46">
        <v>31.490091534874679</v>
      </c>
      <c r="D18" s="47">
        <v>0.60333083006856991</v>
      </c>
      <c r="E18" s="47">
        <f t="shared" si="0"/>
        <v>1.4866071652889563</v>
      </c>
      <c r="F18" s="217">
        <f t="shared" si="1"/>
        <v>4.7208727978531505E-2</v>
      </c>
    </row>
    <row r="19" spans="2:6" ht="15.75" x14ac:dyDescent="0.25">
      <c r="B19" s="152">
        <v>10</v>
      </c>
      <c r="C19" s="82">
        <v>35.983608273747407</v>
      </c>
      <c r="D19" s="95">
        <v>0.68608958929480535</v>
      </c>
      <c r="E19" s="95">
        <f t="shared" si="0"/>
        <v>1.6905247480224004</v>
      </c>
      <c r="F19" s="216">
        <f t="shared" si="1"/>
        <v>4.6980412168830719E-2</v>
      </c>
    </row>
    <row r="20" spans="2:6" s="161" customFormat="1" ht="15.75" x14ac:dyDescent="0.25">
      <c r="B20" s="152">
        <v>10.3</v>
      </c>
      <c r="C20" s="82">
        <v>37.43</v>
      </c>
      <c r="D20" s="95">
        <v>0.71340000000000003</v>
      </c>
      <c r="E20" s="95">
        <f t="shared" si="0"/>
        <v>1.7578176000000001</v>
      </c>
      <c r="F20" s="216">
        <f t="shared" si="1"/>
        <v>4.6962799893133851E-2</v>
      </c>
    </row>
    <row r="21" spans="2:6" ht="15.75" x14ac:dyDescent="0.25">
      <c r="B21" s="153">
        <v>11</v>
      </c>
      <c r="C21" s="46">
        <v>40.920969268335227</v>
      </c>
      <c r="D21" s="47">
        <v>0.78007149936358366</v>
      </c>
      <c r="E21" s="47">
        <f t="shared" si="0"/>
        <v>1.9220961744318701</v>
      </c>
      <c r="F21" s="217">
        <f t="shared" si="1"/>
        <v>4.6970934677229015E-2</v>
      </c>
    </row>
    <row r="22" spans="2:6" ht="15.75" x14ac:dyDescent="0.25">
      <c r="B22" s="152">
        <v>12</v>
      </c>
      <c r="C22" s="82">
        <v>45.921623136976415</v>
      </c>
      <c r="D22" s="95">
        <v>0.87307867008311391</v>
      </c>
      <c r="E22" s="95">
        <f t="shared" si="0"/>
        <v>2.1512658430847926</v>
      </c>
      <c r="F22" s="216">
        <f t="shared" si="1"/>
        <v>4.6846467875665709E-2</v>
      </c>
    </row>
    <row r="23" spans="2:6" ht="15.75" x14ac:dyDescent="0.25">
      <c r="B23" s="152">
        <v>13</v>
      </c>
      <c r="C23" s="82">
        <v>50.562975543985615</v>
      </c>
      <c r="D23" s="95">
        <v>0.9507798666633458</v>
      </c>
      <c r="E23" s="95">
        <f t="shared" si="0"/>
        <v>2.342721591458484</v>
      </c>
      <c r="F23" s="216">
        <f t="shared" si="1"/>
        <v>4.6332747751771639E-2</v>
      </c>
    </row>
    <row r="24" spans="2:6" ht="15.75" x14ac:dyDescent="0.25">
      <c r="B24" s="153">
        <v>14</v>
      </c>
      <c r="C24" s="46">
        <v>54.528714320701638</v>
      </c>
      <c r="D24" s="47">
        <v>1.009910535489611</v>
      </c>
      <c r="E24" s="47">
        <f t="shared" si="0"/>
        <v>2.4884195594464016</v>
      </c>
      <c r="F24" s="217">
        <f t="shared" si="1"/>
        <v>4.5635030835518557E-2</v>
      </c>
    </row>
    <row r="25" spans="2:6" ht="15.75" x14ac:dyDescent="0.25">
      <c r="B25" s="152">
        <v>15</v>
      </c>
      <c r="C25" s="82">
        <v>57.686469728875608</v>
      </c>
      <c r="D25" s="95">
        <v>1.0533374569230165</v>
      </c>
      <c r="E25" s="95">
        <f t="shared" si="0"/>
        <v>2.5954234938583127</v>
      </c>
      <c r="F25" s="216">
        <f t="shared" si="1"/>
        <v>4.4991893351364928E-2</v>
      </c>
    </row>
    <row r="26" spans="2:6" ht="15.75" x14ac:dyDescent="0.25">
      <c r="B26" s="153">
        <v>16</v>
      </c>
      <c r="C26" s="46">
        <v>60.067673083421695</v>
      </c>
      <c r="D26" s="47">
        <v>1.0844463313624879</v>
      </c>
      <c r="E26" s="47">
        <f t="shared" si="0"/>
        <v>2.6720757604771701</v>
      </c>
      <c r="F26" s="217">
        <f t="shared" si="1"/>
        <v>4.4484422707139065E-2</v>
      </c>
    </row>
    <row r="27" spans="2:6" ht="15.75" x14ac:dyDescent="0.25">
      <c r="B27" s="153">
        <v>17</v>
      </c>
      <c r="C27" s="46">
        <v>61.796641842834646</v>
      </c>
      <c r="D27" s="47">
        <v>1.1061006090075189</v>
      </c>
      <c r="E27" s="47">
        <f t="shared" si="0"/>
        <v>2.7254319005945264</v>
      </c>
      <c r="F27" s="217">
        <f t="shared" si="1"/>
        <v>4.4103236346176015E-2</v>
      </c>
    </row>
    <row r="28" spans="2:6" ht="15.75" x14ac:dyDescent="0.25">
      <c r="B28" s="153">
        <v>18</v>
      </c>
      <c r="C28" s="46">
        <v>63.023877266443805</v>
      </c>
      <c r="D28" s="47">
        <v>1.12062874744839</v>
      </c>
      <c r="E28" s="47">
        <f t="shared" si="0"/>
        <v>2.7612292337128328</v>
      </c>
      <c r="F28" s="217">
        <f t="shared" si="1"/>
        <v>4.3812430359358598E-2</v>
      </c>
    </row>
    <row r="29" spans="2:6" ht="15.75" x14ac:dyDescent="0.25">
      <c r="B29" s="152">
        <v>19</v>
      </c>
      <c r="C29" s="82">
        <v>63.886643380924738</v>
      </c>
      <c r="D29" s="95">
        <v>1.1298576243665832</v>
      </c>
      <c r="E29" s="95">
        <f t="shared" si="0"/>
        <v>2.7839691864392608</v>
      </c>
      <c r="F29" s="216">
        <f t="shared" si="1"/>
        <v>4.357670146856546E-2</v>
      </c>
    </row>
    <row r="30" spans="2:6" ht="15.75" x14ac:dyDescent="0.25">
      <c r="B30" s="152">
        <v>20</v>
      </c>
      <c r="C30" s="82">
        <v>64.494109471333417</v>
      </c>
      <c r="D30" s="95">
        <v>1.1351658513473675</v>
      </c>
      <c r="E30" s="95">
        <f t="shared" si="0"/>
        <v>2.7970486577199134</v>
      </c>
      <c r="F30" s="216">
        <f t="shared" si="1"/>
        <v>4.3369056192072181E-2</v>
      </c>
    </row>
    <row r="31" spans="2:6" ht="15.75" x14ac:dyDescent="0.25">
      <c r="B31" s="153">
        <v>21</v>
      </c>
      <c r="C31" s="46">
        <v>64.926599748981431</v>
      </c>
      <c r="D31" s="47">
        <v>1.1375620912566307</v>
      </c>
      <c r="E31" s="47">
        <f t="shared" si="0"/>
        <v>2.8029529928563379</v>
      </c>
      <c r="F31" s="217">
        <f t="shared" si="1"/>
        <v>4.317110404199645E-2</v>
      </c>
    </row>
    <row r="32" spans="2:6" ht="15.75" x14ac:dyDescent="0.25">
      <c r="B32" s="153">
        <v>22</v>
      </c>
      <c r="C32" s="46">
        <v>65.325791591348548</v>
      </c>
      <c r="D32" s="47">
        <v>1.1387826437332129</v>
      </c>
      <c r="E32" s="47">
        <f t="shared" si="0"/>
        <v>2.8059604341586364</v>
      </c>
      <c r="F32" s="217">
        <f t="shared" si="1"/>
        <v>4.2953332302677297E-2</v>
      </c>
    </row>
    <row r="33" spans="2:6" ht="15.75" x14ac:dyDescent="0.25">
      <c r="B33" s="153">
        <v>23</v>
      </c>
      <c r="C33" s="46">
        <v>64.862678458374219</v>
      </c>
      <c r="D33" s="47">
        <v>1.1290013743049454</v>
      </c>
      <c r="E33" s="47">
        <f t="shared" si="0"/>
        <v>2.7818593862873855</v>
      </c>
      <c r="F33" s="217">
        <f t="shared" si="1"/>
        <v>4.2888444517021458E-2</v>
      </c>
    </row>
    <row r="34" spans="2:6" ht="15.75" x14ac:dyDescent="0.25">
      <c r="B34" s="153">
        <v>24</v>
      </c>
      <c r="C34" s="46">
        <v>65.515418464770889</v>
      </c>
      <c r="D34" s="47">
        <v>1.1318788701754356</v>
      </c>
      <c r="E34" s="47">
        <f t="shared" si="0"/>
        <v>2.7889495361122734</v>
      </c>
      <c r="F34" s="217">
        <f t="shared" si="1"/>
        <v>4.2569361555890146E-2</v>
      </c>
    </row>
    <row r="35" spans="2:6" ht="15.75" x14ac:dyDescent="0.25">
      <c r="B35" s="152">
        <v>25</v>
      </c>
      <c r="C35" s="82">
        <v>66.142514055682611</v>
      </c>
      <c r="D35" s="82">
        <v>1.1337914049148705</v>
      </c>
      <c r="E35" s="95">
        <f t="shared" si="0"/>
        <v>2.793662021710241</v>
      </c>
      <c r="F35" s="216">
        <f t="shared" si="1"/>
        <v>4.2237009911028994E-2</v>
      </c>
    </row>
    <row r="36" spans="2:6" ht="15.75" x14ac:dyDescent="0.25">
      <c r="B36" s="153">
        <v>26</v>
      </c>
      <c r="C36" s="46">
        <v>66.744027504995557</v>
      </c>
      <c r="D36" s="47">
        <v>1.1391351455946044</v>
      </c>
      <c r="E36" s="47">
        <f t="shared" si="0"/>
        <v>2.8068289987451052</v>
      </c>
      <c r="F36" s="217">
        <f t="shared" si="1"/>
        <v>4.205363541382072E-2</v>
      </c>
    </row>
    <row r="37" spans="2:6" ht="15.75" x14ac:dyDescent="0.25">
      <c r="B37" s="153">
        <v>27</v>
      </c>
      <c r="C37" s="46">
        <v>67.320021086595901</v>
      </c>
      <c r="D37" s="47">
        <v>1.1441587659915651</v>
      </c>
      <c r="E37" s="47">
        <f t="shared" si="0"/>
        <v>2.8192071994032162</v>
      </c>
      <c r="F37" s="217">
        <f t="shared" si="1"/>
        <v>4.1877693350344906E-2</v>
      </c>
    </row>
    <row r="38" spans="2:6" ht="15.75" x14ac:dyDescent="0.25">
      <c r="B38" s="153">
        <v>28</v>
      </c>
      <c r="C38" s="46">
        <v>67.870557074369813</v>
      </c>
      <c r="D38" s="47">
        <v>1.148869343667877</v>
      </c>
      <c r="E38" s="47">
        <f t="shared" si="0"/>
        <v>2.830814062797649</v>
      </c>
      <c r="F38" s="217">
        <f t="shared" si="1"/>
        <v>4.1709014701260774E-2</v>
      </c>
    </row>
    <row r="39" spans="2:6" ht="15.75" x14ac:dyDescent="0.25">
      <c r="B39" s="153">
        <v>29</v>
      </c>
      <c r="C39" s="46">
        <v>68.395697742203453</v>
      </c>
      <c r="D39" s="47">
        <v>1.1532735353161705</v>
      </c>
      <c r="E39" s="47">
        <f t="shared" si="0"/>
        <v>2.841665991019044</v>
      </c>
      <c r="F39" s="217">
        <f t="shared" si="1"/>
        <v>4.1547437701854144E-2</v>
      </c>
    </row>
    <row r="40" spans="2:6" ht="15.75" x14ac:dyDescent="0.25">
      <c r="B40" s="153">
        <v>30</v>
      </c>
      <c r="C40" s="46">
        <v>68.895505363983034</v>
      </c>
      <c r="D40" s="47">
        <v>1.1573776024550462</v>
      </c>
      <c r="E40" s="47">
        <f t="shared" si="0"/>
        <v>2.8517784124492338</v>
      </c>
      <c r="F40" s="217">
        <f t="shared" si="1"/>
        <v>4.1392807809202563E-2</v>
      </c>
    </row>
    <row r="41" spans="2:6" ht="15.75" x14ac:dyDescent="0.25">
      <c r="B41" s="153">
        <v>31</v>
      </c>
      <c r="C41" s="46">
        <v>69.370042213594715</v>
      </c>
      <c r="D41" s="47">
        <v>1.1611874354333591</v>
      </c>
      <c r="E41" s="47">
        <f t="shared" si="0"/>
        <v>2.8611658409077969</v>
      </c>
      <c r="F41" s="217">
        <f t="shared" si="1"/>
        <v>4.124497765329431E-2</v>
      </c>
    </row>
    <row r="42" spans="2:6" ht="15.75" x14ac:dyDescent="0.25">
      <c r="B42" s="153">
        <v>32</v>
      </c>
      <c r="C42" s="46">
        <v>69.819370564924668</v>
      </c>
      <c r="D42" s="47">
        <v>1.164708576065955</v>
      </c>
      <c r="E42" s="47">
        <f t="shared" si="0"/>
        <v>2.8698419314265133</v>
      </c>
      <c r="F42" s="217">
        <f t="shared" si="1"/>
        <v>4.1103806983734725E-2</v>
      </c>
    </row>
    <row r="43" spans="2:6" ht="15.75" x14ac:dyDescent="0.25">
      <c r="B43" s="153">
        <v>33</v>
      </c>
      <c r="C43" s="46">
        <v>70.243552691859051</v>
      </c>
      <c r="D43" s="47">
        <v>1.1679462390056194</v>
      </c>
      <c r="E43" s="47">
        <f t="shared" si="0"/>
        <v>2.8778195329098462</v>
      </c>
      <c r="F43" s="217">
        <f t="shared" si="1"/>
        <v>4.0969162615309661E-2</v>
      </c>
    </row>
    <row r="44" spans="2:6" ht="15.75" x14ac:dyDescent="0.25">
      <c r="B44" s="153">
        <v>34</v>
      </c>
      <c r="C44" s="46">
        <v>70.642650868284093</v>
      </c>
      <c r="D44" s="47">
        <v>1.1709053318940443</v>
      </c>
      <c r="E44" s="47">
        <f t="shared" si="0"/>
        <v>2.8851107377869254</v>
      </c>
      <c r="F44" s="217">
        <f t="shared" si="1"/>
        <v>4.0840918373325541E-2</v>
      </c>
    </row>
    <row r="45" spans="2:6" ht="15.75" x14ac:dyDescent="0.25">
      <c r="B45" s="153">
        <v>35</v>
      </c>
      <c r="C45" s="46">
        <v>71.016727368085924</v>
      </c>
      <c r="D45" s="47">
        <v>1.1735904743169094</v>
      </c>
      <c r="E45" s="47">
        <f t="shared" si="0"/>
        <v>2.891726928716865</v>
      </c>
      <c r="F45" s="217">
        <f t="shared" si="1"/>
        <v>4.0718955038983852E-2</v>
      </c>
    </row>
    <row r="46" spans="2:6" ht="15.75" x14ac:dyDescent="0.25">
      <c r="B46" s="153">
        <v>36</v>
      </c>
      <c r="C46" s="46">
        <v>71.365844465150758</v>
      </c>
      <c r="D46" s="47">
        <v>1.1760060155831105</v>
      </c>
      <c r="E46" s="47">
        <f t="shared" si="0"/>
        <v>2.897678822396784</v>
      </c>
      <c r="F46" s="217">
        <f t="shared" si="1"/>
        <v>4.0603160294863092E-2</v>
      </c>
    </row>
    <row r="47" spans="2:6" ht="15.75" x14ac:dyDescent="0.25">
      <c r="B47" s="153">
        <v>37</v>
      </c>
      <c r="C47" s="46">
        <v>71.690064433364697</v>
      </c>
      <c r="D47" s="47">
        <v>1.1781560513465981</v>
      </c>
      <c r="E47" s="47">
        <f t="shared" si="0"/>
        <v>2.9029765105180174</v>
      </c>
      <c r="F47" s="217">
        <f t="shared" si="1"/>
        <v>4.049342867052811E-2</v>
      </c>
    </row>
    <row r="48" spans="2:6" ht="15.75" x14ac:dyDescent="0.25">
      <c r="B48" s="153">
        <v>38</v>
      </c>
      <c r="C48" s="46">
        <v>71.989449546614026</v>
      </c>
      <c r="D48" s="47">
        <v>1.1800444390888121</v>
      </c>
      <c r="E48" s="47">
        <f t="shared" si="0"/>
        <v>2.9076294979148329</v>
      </c>
      <c r="F48" s="217">
        <f t="shared" si="1"/>
        <v>4.0389661488272784E-2</v>
      </c>
    </row>
    <row r="49" spans="2:6" ht="15.75" x14ac:dyDescent="0.25">
      <c r="B49" s="153">
        <v>39</v>
      </c>
      <c r="C49" s="46">
        <v>72.264062078784832</v>
      </c>
      <c r="D49" s="47">
        <v>1.1816748124794381</v>
      </c>
      <c r="E49" s="47">
        <f t="shared" si="0"/>
        <v>2.9116467379493352</v>
      </c>
      <c r="F49" s="217">
        <f t="shared" si="1"/>
        <v>4.0291766808997743E-2</v>
      </c>
    </row>
    <row r="50" spans="2:6" ht="15.75" x14ac:dyDescent="0.25">
      <c r="B50" s="153">
        <v>40</v>
      </c>
      <c r="C50" s="46">
        <v>72.513964303763331</v>
      </c>
      <c r="D50" s="47">
        <v>1.1830505946330878</v>
      </c>
      <c r="E50" s="47">
        <f t="shared" si="0"/>
        <v>2.9150366651759283</v>
      </c>
      <c r="F50" s="217">
        <f t="shared" si="1"/>
        <v>4.0199659378223285E-2</v>
      </c>
    </row>
    <row r="51" spans="2:6" ht="15.75" x14ac:dyDescent="0.25">
      <c r="B51" s="153">
        <v>41</v>
      </c>
      <c r="C51" s="46">
        <v>72.739218495435694</v>
      </c>
      <c r="D51" s="47">
        <v>1.1841750102793678</v>
      </c>
      <c r="E51" s="47">
        <f t="shared" si="0"/>
        <v>2.917807225328362</v>
      </c>
      <c r="F51" s="217">
        <f t="shared" si="1"/>
        <v>4.0113260572237949E-2</v>
      </c>
    </row>
    <row r="52" spans="2:6" ht="15.75" x14ac:dyDescent="0.25">
      <c r="B52" s="153">
        <v>42</v>
      </c>
      <c r="C52" s="46">
        <v>72.939886927688079</v>
      </c>
      <c r="D52" s="47">
        <v>1.1850510968636836</v>
      </c>
      <c r="E52" s="47">
        <f t="shared" si="0"/>
        <v>2.9199659026721165</v>
      </c>
      <c r="F52" s="217">
        <f t="shared" si="1"/>
        <v>4.0032498344382453E-2</v>
      </c>
    </row>
    <row r="53" spans="2:6" ht="15.75" x14ac:dyDescent="0.25">
      <c r="B53" s="153">
        <v>43</v>
      </c>
      <c r="C53" s="46">
        <v>73.116031874406701</v>
      </c>
      <c r="D53" s="47">
        <v>1.1856817145960254</v>
      </c>
      <c r="E53" s="47">
        <f t="shared" si="0"/>
        <v>2.9215197447646069</v>
      </c>
      <c r="F53" s="217">
        <f t="shared" si="1"/>
        <v>3.9957307171469274E-2</v>
      </c>
    </row>
    <row r="54" spans="2:6" ht="15.75" x14ac:dyDescent="0.25">
      <c r="B54" s="153">
        <v>44</v>
      </c>
      <c r="C54" s="46">
        <v>73.26771560947769</v>
      </c>
      <c r="D54" s="47">
        <v>1.1860695554648486</v>
      </c>
      <c r="E54" s="47">
        <f t="shared" si="0"/>
        <v>2.922475384665387</v>
      </c>
      <c r="F54" s="217">
        <f t="shared" si="1"/>
        <v>3.9887628000337773E-2</v>
      </c>
    </row>
    <row r="55" spans="2:6" ht="15.75" x14ac:dyDescent="0.25">
      <c r="B55" s="153">
        <v>45</v>
      </c>
      <c r="C55" s="46">
        <v>73.395000406787247</v>
      </c>
      <c r="D55" s="47">
        <v>1.1862171512330666</v>
      </c>
      <c r="E55" s="47">
        <f t="shared" si="0"/>
        <v>2.9228390606382759</v>
      </c>
      <c r="F55" s="217">
        <f t="shared" si="1"/>
        <v>3.9823408194544878E-2</v>
      </c>
    </row>
    <row r="56" spans="2:6" ht="15.75" x14ac:dyDescent="0.25">
      <c r="B56" s="153">
        <v>46</v>
      </c>
      <c r="C56" s="46">
        <v>73.497948540221557</v>
      </c>
      <c r="D56" s="47">
        <v>1.1861268804330392</v>
      </c>
      <c r="E56" s="47">
        <f t="shared" si="0"/>
        <v>2.9226166333870083</v>
      </c>
      <c r="F56" s="217">
        <f t="shared" si="1"/>
        <v>3.9764601481191195E-2</v>
      </c>
    </row>
    <row r="57" spans="2:6" ht="15.75" x14ac:dyDescent="0.25">
      <c r="B57" s="153">
        <v>47</v>
      </c>
      <c r="C57" s="46">
        <v>73.576622283666779</v>
      </c>
      <c r="D57" s="47">
        <v>1.1858009743773523</v>
      </c>
      <c r="E57" s="47">
        <f t="shared" si="0"/>
        <v>2.921813600865796</v>
      </c>
      <c r="F57" s="217">
        <f t="shared" si="1"/>
        <v>3.9711167897882794E-2</v>
      </c>
    </row>
    <row r="58" spans="2:6" ht="15.75" x14ac:dyDescent="0.25">
      <c r="B58" s="153">
        <v>48</v>
      </c>
      <c r="C58" s="46">
        <v>73.6310839110091</v>
      </c>
      <c r="D58" s="47">
        <v>1.1852415222020498</v>
      </c>
      <c r="E58" s="47">
        <f t="shared" si="0"/>
        <v>2.9204351107058506</v>
      </c>
      <c r="F58" s="217">
        <f t="shared" si="1"/>
        <v>3.9663073739828456E-2</v>
      </c>
    </row>
    <row r="59" spans="2:6" ht="15.75" x14ac:dyDescent="0.25">
      <c r="B59" s="152">
        <v>49</v>
      </c>
      <c r="C59" s="82">
        <v>73.66139569613469</v>
      </c>
      <c r="D59" s="95">
        <v>1.184450474958878</v>
      </c>
      <c r="E59" s="95">
        <f t="shared" si="0"/>
        <v>2.9184859702986752</v>
      </c>
      <c r="F59" s="216">
        <f t="shared" si="1"/>
        <v>3.9620291507072546E-2</v>
      </c>
    </row>
    <row r="60" spans="2:6" ht="15.75" x14ac:dyDescent="0.25">
      <c r="B60" s="152">
        <v>50</v>
      </c>
      <c r="C60" s="82">
        <v>73.667619912929737</v>
      </c>
      <c r="D60" s="95">
        <v>1.1834296487729854</v>
      </c>
      <c r="E60" s="95">
        <f t="shared" si="0"/>
        <v>2.9159706545766362</v>
      </c>
      <c r="F60" s="216">
        <f t="shared" si="1"/>
        <v>3.958279985186329E-2</v>
      </c>
    </row>
    <row r="61" spans="2:6" ht="15.75" x14ac:dyDescent="0.25">
      <c r="B61" s="153">
        <v>51</v>
      </c>
      <c r="C61" s="46">
        <v>73.649818835280385</v>
      </c>
      <c r="D61" s="47">
        <v>1.182180727082415</v>
      </c>
      <c r="E61" s="47">
        <f t="shared" si="0"/>
        <v>2.9128933115310702</v>
      </c>
      <c r="F61" s="217">
        <f t="shared" si="1"/>
        <v>3.9550583526156757E-2</v>
      </c>
    </row>
    <row r="62" spans="2:6" ht="15.75" x14ac:dyDescent="0.25">
      <c r="B62" s="153">
        <v>52</v>
      </c>
      <c r="C62" s="46">
        <v>73.608054737072848</v>
      </c>
      <c r="D62" s="47">
        <v>1.1807052619756073</v>
      </c>
      <c r="E62" s="47">
        <f t="shared" si="0"/>
        <v>2.9092577655078964</v>
      </c>
      <c r="F62" s="217">
        <f t="shared" si="1"/>
        <v>3.9523633329256326E-2</v>
      </c>
    </row>
    <row r="63" spans="2:6" ht="15.75" x14ac:dyDescent="0.25">
      <c r="B63" s="153">
        <v>53</v>
      </c>
      <c r="C63" s="46">
        <v>73.542389892193299</v>
      </c>
      <c r="D63" s="47">
        <v>1.1790046746430232</v>
      </c>
      <c r="E63" s="47">
        <f t="shared" si="0"/>
        <v>2.9050675183204091</v>
      </c>
      <c r="F63" s="217">
        <f t="shared" si="1"/>
        <v>3.9501946055587579E-2</v>
      </c>
    </row>
    <row r="64" spans="2:6" ht="15.75" x14ac:dyDescent="0.25">
      <c r="B64" s="153">
        <v>54</v>
      </c>
      <c r="C64" s="46">
        <v>73.452886574527895</v>
      </c>
      <c r="D64" s="47">
        <v>1.1770802549588901</v>
      </c>
      <c r="E64" s="47">
        <f t="shared" si="0"/>
        <v>2.9003257482187053</v>
      </c>
      <c r="F64" s="217">
        <f t="shared" si="1"/>
        <v>3.9485524442608964E-2</v>
      </c>
    </row>
    <row r="65" spans="2:6" ht="15.75" x14ac:dyDescent="0.25">
      <c r="B65" s="153">
        <v>55</v>
      </c>
      <c r="C65" s="46">
        <v>73.339607057962809</v>
      </c>
      <c r="D65" s="47">
        <v>1.1749331602089563</v>
      </c>
      <c r="E65" s="47">
        <f t="shared" si="0"/>
        <v>2.8950353067548682</v>
      </c>
      <c r="F65" s="217">
        <f t="shared" si="1"/>
        <v>3.947437711885779E-2</v>
      </c>
    </row>
    <row r="66" spans="2:6" ht="15.75" x14ac:dyDescent="0.25">
      <c r="B66" s="153">
        <v>56</v>
      </c>
      <c r="C66" s="46">
        <v>73.202613616384227</v>
      </c>
      <c r="D66" s="47">
        <v>1.172564412980033</v>
      </c>
      <c r="E66" s="47">
        <f t="shared" si="0"/>
        <v>2.8891987135828012</v>
      </c>
      <c r="F66" s="217">
        <f t="shared" si="1"/>
        <v>3.9468518552131862E-2</v>
      </c>
    </row>
    <row r="67" spans="2:6" ht="15.75" x14ac:dyDescent="0.25">
      <c r="B67" s="153">
        <v>57</v>
      </c>
      <c r="C67" s="46">
        <v>73.041968523678321</v>
      </c>
      <c r="D67" s="47">
        <v>1.1699748982269922</v>
      </c>
      <c r="E67" s="47">
        <f t="shared" si="0"/>
        <v>2.8828181492313085</v>
      </c>
      <c r="F67" s="217">
        <f t="shared" si="1"/>
        <v>3.9467968997806697E-2</v>
      </c>
    </row>
    <row r="68" spans="2:6" ht="15.75" x14ac:dyDescent="0.25">
      <c r="B68" s="152">
        <v>58</v>
      </c>
      <c r="C68" s="82">
        <v>72.857734053731278</v>
      </c>
      <c r="D68" s="95">
        <v>1.1671653595327773</v>
      </c>
      <c r="E68" s="95">
        <f t="shared" si="0"/>
        <v>2.8758954458887631</v>
      </c>
      <c r="F68" s="216">
        <f t="shared" si="1"/>
        <v>3.9472754447288212E-2</v>
      </c>
    </row>
    <row r="69" spans="2:6" ht="15.75" x14ac:dyDescent="0.25">
      <c r="B69" s="153">
        <v>59</v>
      </c>
      <c r="C69" s="46">
        <v>72.64997248042927</v>
      </c>
      <c r="D69" s="47">
        <v>1.1641363945768755</v>
      </c>
      <c r="E69" s="47">
        <f t="shared" si="0"/>
        <v>2.8684320762374211</v>
      </c>
      <c r="F69" s="217">
        <f t="shared" si="1"/>
        <v>3.948290657660098E-2</v>
      </c>
    </row>
    <row r="70" spans="2:6" ht="15.75" x14ac:dyDescent="0.25">
      <c r="B70" s="152">
        <v>60</v>
      </c>
      <c r="C70" s="82">
        <v>72.418746077658469</v>
      </c>
      <c r="D70" s="95">
        <v>1.1608884498275898</v>
      </c>
      <c r="E70" s="95">
        <f t="shared" si="0"/>
        <v>2.8604291403751811</v>
      </c>
      <c r="F70" s="216">
        <f t="shared" si="1"/>
        <v>3.9498462695111994E-2</v>
      </c>
    </row>
  </sheetData>
  <mergeCells count="1">
    <mergeCell ref="B2:D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M102"/>
  <sheetViews>
    <sheetView zoomScale="85" zoomScaleNormal="85" workbookViewId="0">
      <selection activeCell="H18" sqref="H18"/>
    </sheetView>
  </sheetViews>
  <sheetFormatPr defaultColWidth="9.140625" defaultRowHeight="15.75" x14ac:dyDescent="0.25"/>
  <cols>
    <col min="1" max="1" width="9.140625" style="23"/>
    <col min="2" max="2" width="21.85546875" style="23" customWidth="1"/>
    <col min="3" max="3" width="26.5703125" style="23" customWidth="1"/>
    <col min="4" max="4" width="29.7109375" style="23" customWidth="1"/>
    <col min="5" max="5" width="17.7109375" style="23" customWidth="1"/>
    <col min="6" max="6" width="13.85546875" style="23" customWidth="1"/>
    <col min="7" max="7" width="13.42578125" style="23" customWidth="1"/>
    <col min="8" max="8" width="13.140625" style="239" bestFit="1" customWidth="1"/>
    <col min="9" max="10" width="14.28515625" style="23" bestFit="1" customWidth="1"/>
    <col min="11" max="11" width="12.5703125" style="23" customWidth="1"/>
    <col min="12" max="12" width="15" style="23" customWidth="1"/>
    <col min="13" max="16384" width="9.140625" style="23"/>
  </cols>
  <sheetData>
    <row r="2" spans="2:9" x14ac:dyDescent="0.25">
      <c r="B2" s="335" t="s">
        <v>153</v>
      </c>
      <c r="C2" s="335"/>
      <c r="D2" s="335"/>
    </row>
    <row r="3" spans="2:9" ht="63" customHeight="1" x14ac:dyDescent="0.25">
      <c r="B3" s="25" t="s">
        <v>39</v>
      </c>
      <c r="C3" s="29" t="s">
        <v>42</v>
      </c>
      <c r="D3" s="133" t="s">
        <v>154</v>
      </c>
      <c r="E3" s="218"/>
      <c r="F3" s="218"/>
    </row>
    <row r="4" spans="2:9" ht="79.5" customHeight="1" x14ac:dyDescent="0.25">
      <c r="B4" s="25" t="s">
        <v>40</v>
      </c>
      <c r="C4" s="29" t="s">
        <v>41</v>
      </c>
      <c r="D4" s="133" t="s">
        <v>155</v>
      </c>
    </row>
    <row r="5" spans="2:9" s="24" customFormat="1" x14ac:dyDescent="0.25">
      <c r="H5" s="240"/>
    </row>
    <row r="6" spans="2:9" s="24" customFormat="1" ht="31.5" x14ac:dyDescent="0.25">
      <c r="B6" s="25" t="s">
        <v>36</v>
      </c>
      <c r="C6" s="25" t="s">
        <v>11</v>
      </c>
      <c r="D6" s="25" t="s">
        <v>43</v>
      </c>
      <c r="E6" s="31" t="s">
        <v>156</v>
      </c>
      <c r="F6" s="29" t="s">
        <v>81</v>
      </c>
      <c r="G6" s="29" t="s">
        <v>119</v>
      </c>
      <c r="H6" s="241" t="s">
        <v>145</v>
      </c>
      <c r="I6" s="29" t="s">
        <v>229</v>
      </c>
    </row>
    <row r="7" spans="2:9" s="24" customFormat="1" x14ac:dyDescent="0.25">
      <c r="B7" s="97">
        <v>0.5</v>
      </c>
      <c r="C7" s="100">
        <v>0.36748414020496839</v>
      </c>
      <c r="D7" s="100">
        <v>0.35899999999999999</v>
      </c>
      <c r="E7" s="100">
        <f>(10^(1.2082 *LOG10(C7) + 3.2869)) * (1 + 0) * (1 - D7) / 1000</f>
        <v>0.37023656401702359</v>
      </c>
      <c r="F7" s="100">
        <v>6.9154266082630542</v>
      </c>
      <c r="G7" s="100">
        <f>E7/F7</f>
        <v>5.35377764799988E-2</v>
      </c>
      <c r="H7" s="242">
        <f>G7/(1-D7)</f>
        <v>8.3522272199686109E-2</v>
      </c>
      <c r="I7" s="100">
        <f>H7*F7</f>
        <v>0.57759214355229893</v>
      </c>
    </row>
    <row r="8" spans="2:9" s="24" customFormat="1" x14ac:dyDescent="0.25">
      <c r="B8" s="97">
        <v>1</v>
      </c>
      <c r="C8" s="100">
        <v>0.45489149627609493</v>
      </c>
      <c r="D8" s="100">
        <v>0.35899999999999999</v>
      </c>
      <c r="E8" s="100">
        <f t="shared" ref="E8:E34" si="0">(10^(1.2082 *LOG10(C8) + 3.2869)) * (1 + 0) * (1 - D8) / 1000</f>
        <v>0.47911774439281873</v>
      </c>
      <c r="F8" s="100">
        <v>9.3633691865002202</v>
      </c>
      <c r="G8" s="100">
        <f t="shared" ref="G8:G41" si="1">E8/F8</f>
        <v>5.1169374490070738E-2</v>
      </c>
      <c r="H8" s="242">
        <f t="shared" ref="H8:H70" si="2">G8/(1-D8)</f>
        <v>7.9827417301202394E-2</v>
      </c>
      <c r="I8" s="100">
        <f t="shared" ref="I8:I70" si="3">H8*F8</f>
        <v>0.74745357939597301</v>
      </c>
    </row>
    <row r="9" spans="2:9" s="24" customFormat="1" x14ac:dyDescent="0.25">
      <c r="B9" s="97">
        <v>1.5</v>
      </c>
      <c r="C9" s="100">
        <v>0.52</v>
      </c>
      <c r="D9" s="100">
        <v>0.35899999999999999</v>
      </c>
      <c r="E9" s="100">
        <f t="shared" si="0"/>
        <v>0.5631619049401313</v>
      </c>
      <c r="F9" s="100">
        <v>11.3</v>
      </c>
      <c r="G9" s="100">
        <f t="shared" si="1"/>
        <v>4.9837336720365596E-2</v>
      </c>
      <c r="H9" s="242">
        <f t="shared" ref="H9" si="4">G9/(1-D9)</f>
        <v>7.7749355257980643E-2</v>
      </c>
      <c r="I9" s="100">
        <f t="shared" ref="I9" si="5">H9*F9</f>
        <v>0.87856771441518133</v>
      </c>
    </row>
    <row r="10" spans="2:9" s="24" customFormat="1" x14ac:dyDescent="0.25">
      <c r="B10" s="97">
        <v>2</v>
      </c>
      <c r="C10" s="100">
        <v>0.5745329000718814</v>
      </c>
      <c r="D10" s="100">
        <v>0.34298785720000002</v>
      </c>
      <c r="E10" s="100">
        <f t="shared" si="0"/>
        <v>0.6511449283020343</v>
      </c>
      <c r="F10" s="100">
        <v>12.915540493605725</v>
      </c>
      <c r="G10" s="100">
        <f t="shared" si="1"/>
        <v>5.0415615871779083E-2</v>
      </c>
      <c r="H10" s="242">
        <f t="shared" si="2"/>
        <v>7.6734678992266395E-2</v>
      </c>
      <c r="I10" s="100">
        <f t="shared" si="3"/>
        <v>0.99106985378845314</v>
      </c>
    </row>
    <row r="11" spans="2:9" s="24" customFormat="1" x14ac:dyDescent="0.25">
      <c r="B11" s="97">
        <v>3</v>
      </c>
      <c r="C11" s="100">
        <v>0.65722835067297258</v>
      </c>
      <c r="D11" s="100">
        <v>0.35030012205</v>
      </c>
      <c r="E11" s="100">
        <f t="shared" si="0"/>
        <v>0.75749122428299831</v>
      </c>
      <c r="F11" s="100">
        <v>15.501380986241351</v>
      </c>
      <c r="G11" s="100">
        <f t="shared" si="1"/>
        <v>4.8866047802794417E-2</v>
      </c>
      <c r="H11" s="242">
        <f t="shared" si="2"/>
        <v>7.5213263017659168E-2</v>
      </c>
      <c r="I11" s="100">
        <f t="shared" si="3"/>
        <v>1.1659094452551115</v>
      </c>
    </row>
    <row r="12" spans="2:9" s="24" customFormat="1" x14ac:dyDescent="0.25">
      <c r="B12" s="162">
        <v>4</v>
      </c>
      <c r="C12" s="30">
        <v>0.72810004960674624</v>
      </c>
      <c r="D12" s="30">
        <v>0.35728796960000003</v>
      </c>
      <c r="E12" s="30">
        <f t="shared" si="0"/>
        <v>0.84803869422747447</v>
      </c>
      <c r="F12" s="30">
        <v>17.658377373442054</v>
      </c>
      <c r="G12" s="30">
        <f t="shared" si="1"/>
        <v>4.8024723693067775E-2</v>
      </c>
      <c r="H12" s="243">
        <f t="shared" si="2"/>
        <v>7.4721992776732332E-2</v>
      </c>
      <c r="I12" s="30">
        <f t="shared" si="3"/>
        <v>1.3194691465471509</v>
      </c>
    </row>
    <row r="13" spans="2:9" s="24" customFormat="1" x14ac:dyDescent="0.25">
      <c r="B13" s="97">
        <v>4.5</v>
      </c>
      <c r="C13" s="100">
        <v>0.76</v>
      </c>
      <c r="D13" s="100">
        <v>0.36059999999999998</v>
      </c>
      <c r="E13" s="100">
        <f t="shared" si="0"/>
        <v>0.88852901464928935</v>
      </c>
      <c r="F13" s="100">
        <v>18.68</v>
      </c>
      <c r="G13" s="100">
        <f t="shared" si="1"/>
        <v>4.7565793075443757E-2</v>
      </c>
      <c r="H13" s="242">
        <f t="shared" ref="H13" si="6">G13/(1-D13)</f>
        <v>7.4391293518054055E-2</v>
      </c>
      <c r="I13" s="100">
        <f t="shared" ref="I13" si="7">H13*F13</f>
        <v>1.3896293629172498</v>
      </c>
    </row>
    <row r="14" spans="2:9" s="24" customFormat="1" x14ac:dyDescent="0.25">
      <c r="B14" s="97">
        <v>5</v>
      </c>
      <c r="C14" s="100">
        <v>0.79391925200613322</v>
      </c>
      <c r="D14" s="100">
        <v>0.36395816875000003</v>
      </c>
      <c r="E14" s="100">
        <f t="shared" si="0"/>
        <v>0.93174151251929882</v>
      </c>
      <c r="F14" s="100">
        <v>19.714719894457716</v>
      </c>
      <c r="G14" s="100">
        <f t="shared" si="1"/>
        <v>4.7261209771549122E-2</v>
      </c>
      <c r="H14" s="242">
        <f t="shared" si="2"/>
        <v>7.4305191025985873E-2</v>
      </c>
      <c r="I14" s="100">
        <f t="shared" si="3"/>
        <v>1.4649060277814847</v>
      </c>
    </row>
    <row r="15" spans="2:9" s="24" customFormat="1" x14ac:dyDescent="0.25">
      <c r="B15" s="97">
        <v>6</v>
      </c>
      <c r="C15" s="100">
        <v>0.85943090632727492</v>
      </c>
      <c r="D15" s="100">
        <v>0.37031748840000001</v>
      </c>
      <c r="E15" s="100">
        <f t="shared" si="0"/>
        <v>1.0151619295315413</v>
      </c>
      <c r="F15" s="100">
        <v>21.923103271580395</v>
      </c>
      <c r="G15" s="100">
        <f t="shared" si="1"/>
        <v>4.6305576220476388E-2</v>
      </c>
      <c r="H15" s="242">
        <f t="shared" si="2"/>
        <v>7.3537974086044774E-2</v>
      </c>
      <c r="I15" s="100">
        <f t="shared" si="3"/>
        <v>1.6121806002711625</v>
      </c>
    </row>
    <row r="16" spans="2:9" s="24" customFormat="1" x14ac:dyDescent="0.25">
      <c r="B16" s="162">
        <v>7</v>
      </c>
      <c r="C16" s="30">
        <v>0.9293519107771181</v>
      </c>
      <c r="D16" s="30">
        <v>0.37637269745000002</v>
      </c>
      <c r="E16" s="30">
        <f t="shared" si="0"/>
        <v>1.1050461949650945</v>
      </c>
      <c r="F16" s="30">
        <v>24.506577270969409</v>
      </c>
      <c r="G16" s="30">
        <f t="shared" si="1"/>
        <v>4.5091820973063287E-2</v>
      </c>
      <c r="H16" s="243">
        <f t="shared" si="2"/>
        <v>7.230571976031791E-2</v>
      </c>
      <c r="I16" s="30">
        <f t="shared" si="3"/>
        <v>1.7719657084392906</v>
      </c>
    </row>
    <row r="17" spans="2:13" s="24" customFormat="1" x14ac:dyDescent="0.25">
      <c r="B17" s="162">
        <v>8</v>
      </c>
      <c r="C17" s="30">
        <v>1.0076015223431993</v>
      </c>
      <c r="D17" s="30">
        <v>0.38213056480000002</v>
      </c>
      <c r="E17" s="30">
        <f t="shared" si="0"/>
        <v>1.2071750707970952</v>
      </c>
      <c r="F17" s="30">
        <v>27.656408486783047</v>
      </c>
      <c r="G17" s="30">
        <f t="shared" si="1"/>
        <v>4.3649017961750247E-2</v>
      </c>
      <c r="H17" s="243">
        <f t="shared" si="2"/>
        <v>7.0644403938869976E-2</v>
      </c>
      <c r="I17" s="30">
        <f t="shared" si="3"/>
        <v>1.9537704926386934</v>
      </c>
    </row>
    <row r="18" spans="2:13" s="24" customFormat="1" x14ac:dyDescent="0.25">
      <c r="B18" s="162">
        <v>9</v>
      </c>
      <c r="C18" s="30">
        <v>1.0972046010210692</v>
      </c>
      <c r="D18" s="30">
        <v>0.38759785935000002</v>
      </c>
      <c r="E18" s="30">
        <f t="shared" si="0"/>
        <v>1.3262097081464244</v>
      </c>
      <c r="F18" s="30">
        <v>31.490091534874679</v>
      </c>
      <c r="G18" s="30">
        <f t="shared" si="1"/>
        <v>4.2115143002289218E-2</v>
      </c>
      <c r="H18" s="243">
        <f t="shared" si="2"/>
        <v>6.8770404619403286E-2</v>
      </c>
      <c r="I18" s="30">
        <f t="shared" si="3"/>
        <v>2.165586336355378</v>
      </c>
    </row>
    <row r="19" spans="2:13" s="24" customFormat="1" x14ac:dyDescent="0.25">
      <c r="B19" s="162">
        <v>10</v>
      </c>
      <c r="C19" s="30">
        <v>1.1999235804208825</v>
      </c>
      <c r="D19" s="30">
        <v>0.39278135000000003</v>
      </c>
      <c r="E19" s="30">
        <f t="shared" si="0"/>
        <v>1.4651377791565157</v>
      </c>
      <c r="F19" s="30">
        <v>35.983608273747407</v>
      </c>
      <c r="G19" s="30">
        <f t="shared" si="1"/>
        <v>4.0716811054922405E-2</v>
      </c>
      <c r="H19" s="243">
        <f t="shared" si="2"/>
        <v>6.7054612131762434E-2</v>
      </c>
      <c r="I19" s="30">
        <f t="shared" si="3"/>
        <v>2.4128668958974098</v>
      </c>
    </row>
    <row r="20" spans="2:13" s="24" customFormat="1" x14ac:dyDescent="0.25">
      <c r="B20" s="97">
        <v>10.3</v>
      </c>
      <c r="C20" s="100">
        <v>1.23</v>
      </c>
      <c r="D20" s="100">
        <v>0.39400000000000002</v>
      </c>
      <c r="E20" s="100">
        <f t="shared" si="0"/>
        <v>1.5065931198373257</v>
      </c>
      <c r="F20" s="100">
        <v>37.43</v>
      </c>
      <c r="G20" s="100">
        <f t="shared" si="1"/>
        <v>4.0250951638720965E-2</v>
      </c>
      <c r="H20" s="242">
        <f t="shared" si="2"/>
        <v>6.6420712275117103E-2</v>
      </c>
      <c r="I20" s="100">
        <f t="shared" si="3"/>
        <v>2.486127260457633</v>
      </c>
    </row>
    <row r="21" spans="2:13" s="24" customFormat="1" x14ac:dyDescent="0.25">
      <c r="B21" s="162">
        <v>11</v>
      </c>
      <c r="C21" s="30">
        <v>1.3126591223931585</v>
      </c>
      <c r="D21" s="30">
        <v>0.39768780565</v>
      </c>
      <c r="E21" s="30">
        <f t="shared" si="0"/>
        <v>1.6198427457116236</v>
      </c>
      <c r="F21" s="30">
        <v>40.920969268335227</v>
      </c>
      <c r="G21" s="30">
        <f t="shared" si="1"/>
        <v>3.9584662208015264E-2</v>
      </c>
      <c r="H21" s="243">
        <f t="shared" si="2"/>
        <v>6.5721170149533534E-2</v>
      </c>
      <c r="I21" s="30">
        <f t="shared" si="3"/>
        <v>2.6893739839680921</v>
      </c>
    </row>
    <row r="22" spans="2:13" s="24" customFormat="1" x14ac:dyDescent="0.25">
      <c r="B22" s="97">
        <v>12</v>
      </c>
      <c r="C22" s="100">
        <v>1.4207481907426538</v>
      </c>
      <c r="D22" s="100">
        <v>0.40232399520000001</v>
      </c>
      <c r="E22" s="100">
        <f t="shared" si="0"/>
        <v>1.7686300296821755</v>
      </c>
      <c r="F22" s="100">
        <v>45.921623136976415</v>
      </c>
      <c r="G22" s="100">
        <f t="shared" si="1"/>
        <v>3.851410095864103E-2</v>
      </c>
      <c r="H22" s="242">
        <f t="shared" si="2"/>
        <v>6.4439764436467512E-2</v>
      </c>
      <c r="I22" s="100">
        <f t="shared" si="3"/>
        <v>2.9591785774869965</v>
      </c>
    </row>
    <row r="23" spans="2:13" s="24" customFormat="1" x14ac:dyDescent="0.25">
      <c r="B23" s="97">
        <v>13</v>
      </c>
      <c r="C23" s="100">
        <v>1.5086662024414661</v>
      </c>
      <c r="D23" s="100">
        <v>0.40669668754999999</v>
      </c>
      <c r="E23" s="100">
        <f t="shared" si="0"/>
        <v>1.8877871713753724</v>
      </c>
      <c r="F23" s="100">
        <v>50.562975543985615</v>
      </c>
      <c r="G23" s="100">
        <f t="shared" si="1"/>
        <v>3.733536547375764E-2</v>
      </c>
      <c r="H23" s="242">
        <f t="shared" si="2"/>
        <v>6.2927957235876783E-2</v>
      </c>
      <c r="I23" s="100">
        <f t="shared" si="3"/>
        <v>3.1818247627506104</v>
      </c>
    </row>
    <row r="24" spans="2:13" s="24" customFormat="1" x14ac:dyDescent="0.25">
      <c r="B24" s="162">
        <v>14</v>
      </c>
      <c r="C24" s="30">
        <v>1.5745961074725983</v>
      </c>
      <c r="D24" s="30">
        <v>0.41081265160000002</v>
      </c>
      <c r="E24" s="30">
        <f t="shared" si="0"/>
        <v>1.9741184530814169</v>
      </c>
      <c r="F24" s="30">
        <v>54.528714320701638</v>
      </c>
      <c r="G24" s="30">
        <f t="shared" si="1"/>
        <v>3.6203282576423218E-2</v>
      </c>
      <c r="H24" s="243">
        <f t="shared" si="2"/>
        <v>6.1446130292405338E-2</v>
      </c>
      <c r="I24" s="30">
        <f t="shared" si="3"/>
        <v>3.3505784848271816</v>
      </c>
    </row>
    <row r="25" spans="2:13" s="24" customFormat="1" x14ac:dyDescent="0.25">
      <c r="B25" s="97">
        <v>15</v>
      </c>
      <c r="C25" s="100">
        <v>1.6228785191873281</v>
      </c>
      <c r="D25" s="100">
        <v>0.41467865625</v>
      </c>
      <c r="E25" s="100">
        <f t="shared" si="0"/>
        <v>2.0340513871064698</v>
      </c>
      <c r="F25" s="100">
        <v>57.686469728875608</v>
      </c>
      <c r="G25" s="100">
        <f t="shared" si="1"/>
        <v>3.5260458763839084E-2</v>
      </c>
      <c r="H25" s="242">
        <f t="shared" si="2"/>
        <v>6.02411976606467E-2</v>
      </c>
      <c r="I25" s="100">
        <f t="shared" si="3"/>
        <v>3.4751020252821081</v>
      </c>
    </row>
    <row r="26" spans="2:13" s="24" customFormat="1" x14ac:dyDescent="0.25">
      <c r="B26" s="162">
        <v>16</v>
      </c>
      <c r="C26" s="30">
        <v>1.657623441223901</v>
      </c>
      <c r="D26" s="30">
        <v>0.41830147039999999</v>
      </c>
      <c r="E26" s="30">
        <f t="shared" si="0"/>
        <v>2.0738665453354979</v>
      </c>
      <c r="F26" s="30">
        <v>60.067673083421695</v>
      </c>
      <c r="G26" s="30">
        <f t="shared" si="1"/>
        <v>3.4525501636384716E-2</v>
      </c>
      <c r="H26" s="243">
        <f t="shared" si="2"/>
        <v>5.9352911997432554E-2</v>
      </c>
      <c r="I26" s="30">
        <f t="shared" si="3"/>
        <v>3.565191314410876</v>
      </c>
    </row>
    <row r="27" spans="2:13" s="24" customFormat="1" x14ac:dyDescent="0.25">
      <c r="B27" s="162">
        <v>17</v>
      </c>
      <c r="C27" s="30">
        <v>1.6821945646287926</v>
      </c>
      <c r="D27" s="30">
        <v>0.42168786294999999</v>
      </c>
      <c r="E27" s="30">
        <f t="shared" si="0"/>
        <v>2.0987753870436516</v>
      </c>
      <c r="F27" s="30">
        <v>61.796641842834646</v>
      </c>
      <c r="G27" s="30">
        <f t="shared" si="1"/>
        <v>3.3962612278858093E-2</v>
      </c>
      <c r="H27" s="243">
        <f t="shared" si="2"/>
        <v>5.8727130390351358E-2</v>
      </c>
      <c r="I27" s="30">
        <f t="shared" si="3"/>
        <v>3.629139443189993</v>
      </c>
    </row>
    <row r="28" spans="2:13" s="24" customFormat="1" x14ac:dyDescent="0.25">
      <c r="B28" s="162">
        <v>18</v>
      </c>
      <c r="C28" s="30">
        <v>1.6993651152787927</v>
      </c>
      <c r="D28" s="30">
        <v>0.42484460280000003</v>
      </c>
      <c r="E28" s="30">
        <f t="shared" si="0"/>
        <v>2.1130880256081412</v>
      </c>
      <c r="F28" s="30">
        <v>63.023877266443805</v>
      </c>
      <c r="G28" s="30">
        <f t="shared" si="1"/>
        <v>3.3528372376626626E-2</v>
      </c>
      <c r="H28" s="243">
        <f t="shared" si="2"/>
        <v>5.8294458401766044E-2</v>
      </c>
      <c r="I28" s="30">
        <f t="shared" si="3"/>
        <v>3.6739427916267169</v>
      </c>
      <c r="K28" s="336" t="s">
        <v>231</v>
      </c>
      <c r="L28" s="337"/>
      <c r="M28" s="338"/>
    </row>
    <row r="29" spans="2:13" s="24" customFormat="1" x14ac:dyDescent="0.25">
      <c r="B29" s="97">
        <v>19</v>
      </c>
      <c r="C29" s="220">
        <v>1.7113198725208658</v>
      </c>
      <c r="D29" s="220">
        <v>0.42777845884999999</v>
      </c>
      <c r="E29" s="220">
        <f t="shared" si="0"/>
        <v>2.120190824905384</v>
      </c>
      <c r="F29" s="220">
        <v>63.886643380924738</v>
      </c>
      <c r="G29" s="220">
        <f t="shared" si="1"/>
        <v>3.3186761938074058E-2</v>
      </c>
      <c r="H29" s="244">
        <f t="shared" si="2"/>
        <v>5.7996352027185574E-2</v>
      </c>
      <c r="I29" s="220">
        <f t="shared" si="3"/>
        <v>3.7051922593553761</v>
      </c>
      <c r="K29" s="219" t="s">
        <v>15</v>
      </c>
      <c r="L29" s="219" t="s">
        <v>232</v>
      </c>
      <c r="M29" s="219" t="s">
        <v>233</v>
      </c>
    </row>
    <row r="30" spans="2:13" s="24" customFormat="1" x14ac:dyDescent="0.25">
      <c r="B30" s="97">
        <v>20</v>
      </c>
      <c r="C30" s="100">
        <v>1.719684594176941</v>
      </c>
      <c r="D30" s="100">
        <v>0.4304962</v>
      </c>
      <c r="E30" s="100">
        <f t="shared" si="0"/>
        <v>2.1225887944904178</v>
      </c>
      <c r="F30" s="100">
        <v>64.494109471333417</v>
      </c>
      <c r="G30" s="100">
        <f t="shared" si="1"/>
        <v>3.2911359066580707E-2</v>
      </c>
      <c r="H30" s="242">
        <f t="shared" si="2"/>
        <v>5.7789533742497783E-2</v>
      </c>
      <c r="I30" s="100">
        <f t="shared" si="3"/>
        <v>3.7270845154859682</v>
      </c>
      <c r="K30" s="219" t="s">
        <v>234</v>
      </c>
      <c r="L30" s="219">
        <v>290</v>
      </c>
      <c r="M30" s="219"/>
    </row>
    <row r="31" spans="2:13" s="24" customFormat="1" x14ac:dyDescent="0.25">
      <c r="B31" s="162">
        <v>21</v>
      </c>
      <c r="C31" s="30">
        <v>1.7256150344033536</v>
      </c>
      <c r="D31" s="30">
        <v>0.43300459515</v>
      </c>
      <c r="E31" s="30">
        <f t="shared" si="0"/>
        <v>2.122047878503234</v>
      </c>
      <c r="F31" s="30">
        <v>64.926599748981431</v>
      </c>
      <c r="G31" s="30">
        <f t="shared" si="1"/>
        <v>3.2683798115217405E-2</v>
      </c>
      <c r="H31" s="243">
        <f t="shared" si="2"/>
        <v>5.7643850083518723E-2</v>
      </c>
      <c r="I31" s="30">
        <f t="shared" si="3"/>
        <v>3.74261918236291</v>
      </c>
      <c r="K31" s="219">
        <v>1</v>
      </c>
      <c r="L31" s="219">
        <v>530</v>
      </c>
      <c r="M31" s="219">
        <f>0.747*1000</f>
        <v>747</v>
      </c>
    </row>
    <row r="32" spans="2:13" s="24" customFormat="1" x14ac:dyDescent="0.25">
      <c r="B32" s="162">
        <v>22</v>
      </c>
      <c r="C32" s="30">
        <v>1.7310712097433181</v>
      </c>
      <c r="D32" s="30">
        <v>0.43531041319999997</v>
      </c>
      <c r="E32" s="30">
        <f t="shared" si="0"/>
        <v>2.1214943613269397</v>
      </c>
      <c r="F32" s="30">
        <v>65.325791591348548</v>
      </c>
      <c r="G32" s="30">
        <f t="shared" si="1"/>
        <v>3.2475601284683103E-2</v>
      </c>
      <c r="H32" s="243">
        <f t="shared" si="2"/>
        <v>5.7510536839747335E-2</v>
      </c>
      <c r="I32" s="30">
        <f t="shared" si="3"/>
        <v>3.7569213438999074</v>
      </c>
      <c r="K32" s="219">
        <v>5</v>
      </c>
      <c r="L32" s="219">
        <v>1500</v>
      </c>
      <c r="M32" s="219">
        <f>1.465*1000</f>
        <v>1465</v>
      </c>
    </row>
    <row r="33" spans="2:13" s="24" customFormat="1" x14ac:dyDescent="0.25">
      <c r="B33" s="162">
        <v>23</v>
      </c>
      <c r="C33" s="30">
        <v>1.7247402821960902</v>
      </c>
      <c r="D33" s="30">
        <v>0.43742042305000001</v>
      </c>
      <c r="E33" s="30">
        <f t="shared" si="0"/>
        <v>2.1042316302664887</v>
      </c>
      <c r="F33" s="30">
        <v>64.862678458374219</v>
      </c>
      <c r="G33" s="30">
        <f t="shared" si="1"/>
        <v>3.2441331136469867E-2</v>
      </c>
      <c r="H33" s="243">
        <f t="shared" si="2"/>
        <v>5.7665319655486068E-2</v>
      </c>
      <c r="I33" s="30">
        <f t="shared" si="3"/>
        <v>3.7403270870131595</v>
      </c>
      <c r="K33" s="219">
        <v>10</v>
      </c>
      <c r="L33" s="219">
        <v>2500</v>
      </c>
      <c r="M33" s="219">
        <f>2.413*1000</f>
        <v>2413</v>
      </c>
    </row>
    <row r="34" spans="2:13" s="24" customFormat="1" x14ac:dyDescent="0.25">
      <c r="B34" s="162">
        <v>24</v>
      </c>
      <c r="C34" s="30">
        <v>1.7336573399662447</v>
      </c>
      <c r="D34" s="30">
        <v>0.43934139360000002</v>
      </c>
      <c r="E34" s="30">
        <f t="shared" si="0"/>
        <v>2.1101528127834799</v>
      </c>
      <c r="F34" s="30">
        <v>65.515418464770889</v>
      </c>
      <c r="G34" s="30">
        <f t="shared" si="1"/>
        <v>3.220849171433067E-2</v>
      </c>
      <c r="H34" s="243">
        <f t="shared" si="2"/>
        <v>5.7447600637296967E-2</v>
      </c>
      <c r="I34" s="30">
        <f t="shared" si="3"/>
        <v>3.7637035955495497</v>
      </c>
      <c r="K34" s="219">
        <v>15</v>
      </c>
      <c r="L34" s="219">
        <v>3500</v>
      </c>
      <c r="M34" s="219">
        <f>3.475*1000</f>
        <v>3475</v>
      </c>
    </row>
    <row r="35" spans="2:13" s="24" customFormat="1" x14ac:dyDescent="0.25">
      <c r="B35" s="154">
        <v>25</v>
      </c>
      <c r="C35" s="102">
        <v>1.7421835611066414</v>
      </c>
      <c r="D35" s="102">
        <v>0.44108009375000001</v>
      </c>
      <c r="E35" s="102">
        <f>(10^(1.2082 *LOG10(C35) + 3.2869)) * (1 + 0) * (1 - D35) / 1000</f>
        <v>2.1161148817752737</v>
      </c>
      <c r="F35" s="100">
        <v>66.142514055682611</v>
      </c>
      <c r="G35" s="100">
        <f t="shared" si="1"/>
        <v>3.1993263515714042E-2</v>
      </c>
      <c r="H35" s="242">
        <f>G35/(1-D35)</f>
        <v>5.7241231092248365E-2</v>
      </c>
      <c r="I35" s="100">
        <f t="shared" si="3"/>
        <v>3.7860789320836141</v>
      </c>
      <c r="K35" s="219" t="s">
        <v>235</v>
      </c>
      <c r="L35" s="219">
        <v>4100</v>
      </c>
      <c r="M35" s="219">
        <f>3.786*1000</f>
        <v>3786</v>
      </c>
    </row>
    <row r="36" spans="2:13" s="24" customFormat="1" x14ac:dyDescent="0.25">
      <c r="B36" s="162">
        <v>26</v>
      </c>
      <c r="C36" s="30">
        <v>1.7503251910137387</v>
      </c>
      <c r="D36" s="30">
        <v>0.4426432924</v>
      </c>
      <c r="E36" s="30">
        <f t="shared" ref="E36:E70" si="8">(10^(1.2082 *LOG10(C36) + 3.2869)) * (1 + 0) * (1 - D36) / 1000</f>
        <v>2.122116869353055</v>
      </c>
      <c r="F36" s="30">
        <v>66.744027504995557</v>
      </c>
      <c r="G36" s="30">
        <f t="shared" si="1"/>
        <v>3.1794857887385085E-2</v>
      </c>
      <c r="H36" s="243">
        <f t="shared" si="2"/>
        <v>5.7045797518603482E-2</v>
      </c>
      <c r="I36" s="30">
        <f t="shared" si="3"/>
        <v>3.807466278626078</v>
      </c>
    </row>
    <row r="37" spans="2:13" s="24" customFormat="1" x14ac:dyDescent="0.25">
      <c r="B37" s="162">
        <v>27</v>
      </c>
      <c r="C37" s="30">
        <v>1.7580881141407607</v>
      </c>
      <c r="D37" s="30">
        <v>0.44403775844999999</v>
      </c>
      <c r="E37" s="30">
        <f t="shared" si="8"/>
        <v>2.1281556865650311</v>
      </c>
      <c r="F37" s="30">
        <v>67.320021086595901</v>
      </c>
      <c r="G37" s="30">
        <f t="shared" si="1"/>
        <v>3.1612522578201754E-2</v>
      </c>
      <c r="H37" s="243">
        <f t="shared" si="2"/>
        <v>5.6860916471714575E-2</v>
      </c>
      <c r="I37" s="30">
        <f t="shared" si="3"/>
        <v>3.8278780958789933</v>
      </c>
    </row>
    <row r="38" spans="2:13" s="24" customFormat="1" x14ac:dyDescent="0.25">
      <c r="B38" s="162">
        <v>28</v>
      </c>
      <c r="C38" s="30">
        <v>1.7654778803718021</v>
      </c>
      <c r="D38" s="30">
        <v>0.44527026079999998</v>
      </c>
      <c r="E38" s="30">
        <f t="shared" si="8"/>
        <v>2.134226247139861</v>
      </c>
      <c r="F38" s="30">
        <v>67.870557074369813</v>
      </c>
      <c r="G38" s="30">
        <f t="shared" si="1"/>
        <v>3.1445538966200941E-2</v>
      </c>
      <c r="H38" s="243">
        <f t="shared" si="2"/>
        <v>5.6686232491428935E-2</v>
      </c>
      <c r="I38" s="30">
        <f t="shared" si="3"/>
        <v>3.8473261776405239</v>
      </c>
    </row>
    <row r="39" spans="2:13" s="24" customFormat="1" x14ac:dyDescent="0.25">
      <c r="B39" s="162">
        <v>29</v>
      </c>
      <c r="C39" s="30">
        <v>1.7724997251255588</v>
      </c>
      <c r="D39" s="30">
        <v>0.44634756835</v>
      </c>
      <c r="E39" s="30">
        <f t="shared" si="8"/>
        <v>2.1403215790810828</v>
      </c>
      <c r="F39" s="30">
        <v>68.395697742203453</v>
      </c>
      <c r="G39" s="30">
        <f t="shared" si="1"/>
        <v>3.1293219452901359E-2</v>
      </c>
      <c r="H39" s="243">
        <f t="shared" si="2"/>
        <v>5.6521416079833735E-2</v>
      </c>
      <c r="I39" s="30">
        <f t="shared" si="3"/>
        <v>3.8658216901576261</v>
      </c>
    </row>
    <row r="40" spans="2:13" s="24" customFormat="1" x14ac:dyDescent="0.25">
      <c r="B40" s="162">
        <v>30</v>
      </c>
      <c r="C40" s="30">
        <v>1.7791585866113251</v>
      </c>
      <c r="D40" s="30">
        <v>0.44727644999999999</v>
      </c>
      <c r="E40" s="30">
        <f t="shared" si="8"/>
        <v>2.1464329294178999</v>
      </c>
      <c r="F40" s="30">
        <v>68.895505363983034</v>
      </c>
      <c r="G40" s="30">
        <f t="shared" si="1"/>
        <v>3.1154905070774109E-2</v>
      </c>
      <c r="H40" s="243">
        <f t="shared" si="2"/>
        <v>5.6366161837638554E-2</v>
      </c>
      <c r="I40" s="30">
        <f t="shared" si="3"/>
        <v>3.8833752052321628</v>
      </c>
    </row>
    <row r="41" spans="2:13" s="24" customFormat="1" x14ac:dyDescent="0.25">
      <c r="B41" s="162">
        <v>31</v>
      </c>
      <c r="C41" s="30">
        <v>1.7854591213030413</v>
      </c>
      <c r="D41" s="30">
        <v>0.44806367465000002</v>
      </c>
      <c r="E41" s="30">
        <f t="shared" si="8"/>
        <v>2.1525498638949765</v>
      </c>
      <c r="F41" s="30">
        <v>69.370042213594715</v>
      </c>
      <c r="G41" s="30">
        <f t="shared" si="1"/>
        <v>3.1029963298380883E-2</v>
      </c>
      <c r="H41" s="243">
        <f t="shared" si="2"/>
        <v>5.6220186773725783E-2</v>
      </c>
      <c r="I41" s="30">
        <f t="shared" si="3"/>
        <v>3.899996729749537</v>
      </c>
    </row>
    <row r="42" spans="2:13" s="24" customFormat="1" x14ac:dyDescent="0.25">
      <c r="B42" s="162">
        <v>32</v>
      </c>
      <c r="C42" s="30">
        <v>1.791405718020088</v>
      </c>
      <c r="D42" s="30">
        <v>0.44871601119999999</v>
      </c>
      <c r="E42" s="30">
        <f t="shared" si="8"/>
        <v>2.1586603623633089</v>
      </c>
      <c r="F42" s="30">
        <v>69.819370564924668</v>
      </c>
      <c r="G42" s="30">
        <f t="shared" ref="G42:G70" si="9">E42/F42</f>
        <v>3.0917786065630337E-2</v>
      </c>
      <c r="H42" s="243">
        <f t="shared" si="2"/>
        <v>5.6083228778202335E-2</v>
      </c>
      <c r="I42" s="30">
        <f t="shared" si="3"/>
        <v>3.9156957325427562</v>
      </c>
    </row>
    <row r="43" spans="2:13" s="24" customFormat="1" x14ac:dyDescent="0.25">
      <c r="B43" s="162">
        <v>33</v>
      </c>
      <c r="C43" s="30">
        <v>1.7970025108023571</v>
      </c>
      <c r="D43" s="30">
        <v>0.44924022855000001</v>
      </c>
      <c r="E43" s="30">
        <f t="shared" si="8"/>
        <v>2.1647509103219424</v>
      </c>
      <c r="F43" s="30">
        <v>70.243552691859051</v>
      </c>
      <c r="G43" s="30">
        <f t="shared" si="9"/>
        <v>3.0817787930205707E-2</v>
      </c>
      <c r="H43" s="243">
        <f t="shared" si="2"/>
        <v>5.5955045244264832E-2</v>
      </c>
      <c r="I43" s="30">
        <f t="shared" si="3"/>
        <v>3.9304811689908741</v>
      </c>
    </row>
    <row r="44" spans="2:13" s="24" customFormat="1" x14ac:dyDescent="0.25">
      <c r="B44" s="162">
        <v>34</v>
      </c>
      <c r="C44" s="30">
        <v>1.8022533907017566</v>
      </c>
      <c r="D44" s="30">
        <v>0.44964309559999999</v>
      </c>
      <c r="E44" s="30">
        <f t="shared" si="8"/>
        <v>2.1708065869503681</v>
      </c>
      <c r="F44" s="30">
        <v>70.642650868284093</v>
      </c>
      <c r="G44" s="30">
        <f t="shared" si="9"/>
        <v>3.0729404407514652E-2</v>
      </c>
      <c r="H44" s="243">
        <f t="shared" si="2"/>
        <v>5.5835411824288632E-2</v>
      </c>
      <c r="I44" s="30">
        <f t="shared" si="3"/>
        <v>3.9443615035900832</v>
      </c>
    </row>
    <row r="45" spans="2:13" s="24" customFormat="1" x14ac:dyDescent="0.25">
      <c r="B45" s="162">
        <v>35</v>
      </c>
      <c r="C45" s="30">
        <v>1.8071620165861177</v>
      </c>
      <c r="D45" s="30">
        <v>0.44993138125000004</v>
      </c>
      <c r="E45" s="30">
        <f t="shared" si="8"/>
        <v>2.1768111499208911</v>
      </c>
      <c r="F45" s="30">
        <v>71.016727368085924</v>
      </c>
      <c r="G45" s="30">
        <f t="shared" si="9"/>
        <v>3.0652090438331354E-2</v>
      </c>
      <c r="H45" s="243">
        <f t="shared" si="2"/>
        <v>5.572412130687715E-2</v>
      </c>
      <c r="I45" s="30">
        <f t="shared" si="3"/>
        <v>3.9573447306766423</v>
      </c>
    </row>
    <row r="46" spans="2:13" s="24" customFormat="1" x14ac:dyDescent="0.25">
      <c r="B46" s="162">
        <v>36</v>
      </c>
      <c r="C46" s="30">
        <v>1.8117318250374792</v>
      </c>
      <c r="D46" s="30">
        <v>0.45011185440000001</v>
      </c>
      <c r="E46" s="30">
        <f t="shared" si="8"/>
        <v>2.1827471172487933</v>
      </c>
      <c r="F46" s="30">
        <v>71.365844465150758</v>
      </c>
      <c r="G46" s="30">
        <f t="shared" si="9"/>
        <v>3.0585318980071323E-2</v>
      </c>
      <c r="H46" s="243">
        <f t="shared" si="2"/>
        <v>5.56209826031051E-2</v>
      </c>
      <c r="I46" s="30">
        <f t="shared" si="3"/>
        <v>3.9694383934520547</v>
      </c>
    </row>
    <row r="47" spans="2:13" s="24" customFormat="1" x14ac:dyDescent="0.25">
      <c r="B47" s="162">
        <v>37</v>
      </c>
      <c r="C47" s="30">
        <v>1.8159660394167008</v>
      </c>
      <c r="D47" s="30">
        <v>0.45019128395000002</v>
      </c>
      <c r="E47" s="30">
        <f t="shared" si="8"/>
        <v>2.1885958464139663</v>
      </c>
      <c r="F47" s="30">
        <v>71.690064433364697</v>
      </c>
      <c r="G47" s="30">
        <f t="shared" si="9"/>
        <v>3.0528579709232197E-2</v>
      </c>
      <c r="H47" s="243">
        <f t="shared" si="2"/>
        <v>5.5525819831593763E-2</v>
      </c>
      <c r="I47" s="30">
        <f t="shared" si="3"/>
        <v>3.980649601442356</v>
      </c>
    </row>
    <row r="48" spans="2:13" s="24" customFormat="1" x14ac:dyDescent="0.25">
      <c r="B48" s="162">
        <v>38</v>
      </c>
      <c r="C48" s="30">
        <v>1.8198676781583289</v>
      </c>
      <c r="D48" s="30">
        <v>0.45017643880000002</v>
      </c>
      <c r="E48" s="30">
        <f t="shared" si="8"/>
        <v>2.1943376109670947</v>
      </c>
      <c r="F48" s="30">
        <v>71.989449546614026</v>
      </c>
      <c r="G48" s="30">
        <f t="shared" si="9"/>
        <v>3.0481377823930088E-2</v>
      </c>
      <c r="H48" s="243">
        <f t="shared" si="2"/>
        <v>5.5438471493298544E-2</v>
      </c>
      <c r="I48" s="30">
        <f t="shared" si="3"/>
        <v>3.9909850465082153</v>
      </c>
    </row>
    <row r="49" spans="2:9" s="24" customFormat="1" x14ac:dyDescent="0.25">
      <c r="B49" s="162">
        <v>39</v>
      </c>
      <c r="C49" s="30">
        <v>1.823439562352613</v>
      </c>
      <c r="D49" s="30">
        <v>0.45007408785000003</v>
      </c>
      <c r="E49" s="30">
        <f t="shared" si="8"/>
        <v>2.1999516748157286</v>
      </c>
      <c r="F49" s="30">
        <v>72.264062078784832</v>
      </c>
      <c r="G49" s="30">
        <f t="shared" si="9"/>
        <v>3.0443232936687999E-2</v>
      </c>
      <c r="H49" s="243">
        <f t="shared" si="2"/>
        <v>5.5358789727995544E-2</v>
      </c>
      <c r="I49" s="30">
        <f t="shared" si="3"/>
        <v>4.0004510175102661</v>
      </c>
    </row>
    <row r="50" spans="2:9" s="24" customFormat="1" x14ac:dyDescent="0.25">
      <c r="B50" s="162">
        <v>40</v>
      </c>
      <c r="C50" s="30">
        <v>1.8266843226654108</v>
      </c>
      <c r="D50" s="30">
        <v>0.44989099999999999</v>
      </c>
      <c r="E50" s="30">
        <f t="shared" si="8"/>
        <v>2.2054163643695337</v>
      </c>
      <c r="F50" s="30">
        <v>72.513964303763331</v>
      </c>
      <c r="G50" s="30">
        <f t="shared" si="9"/>
        <v>3.0413678048699332E-2</v>
      </c>
      <c r="H50" s="243">
        <f t="shared" si="2"/>
        <v>5.5286639645414519E-2</v>
      </c>
      <c r="I50" s="30">
        <f t="shared" si="3"/>
        <v>4.009053413722615</v>
      </c>
    </row>
    <row r="51" spans="2:9" s="24" customFormat="1" x14ac:dyDescent="0.25">
      <c r="B51" s="162">
        <v>41</v>
      </c>
      <c r="C51" s="30">
        <v>1.8296044056411949</v>
      </c>
      <c r="D51" s="30">
        <v>0.44963394415000002</v>
      </c>
      <c r="E51" s="30">
        <f t="shared" si="8"/>
        <v>2.2107091387100013</v>
      </c>
      <c r="F51" s="30">
        <v>72.739218495435694</v>
      </c>
      <c r="G51" s="30">
        <f t="shared" si="9"/>
        <v>3.0392258597729104E-2</v>
      </c>
      <c r="H51" s="243">
        <f t="shared" si="2"/>
        <v>5.5221898724823228E-2</v>
      </c>
      <c r="I51" s="30">
        <f t="shared" si="3"/>
        <v>4.0167977570777387</v>
      </c>
    </row>
    <row r="52" spans="2:9" s="24" customFormat="1" x14ac:dyDescent="0.25">
      <c r="B52" s="162">
        <v>42</v>
      </c>
      <c r="C52" s="30">
        <v>1.8322020794294125</v>
      </c>
      <c r="D52" s="30">
        <v>0.44930968920000003</v>
      </c>
      <c r="E52" s="30">
        <f t="shared" si="8"/>
        <v>2.2158066579371551</v>
      </c>
      <c r="F52" s="30">
        <v>72.939886927688079</v>
      </c>
      <c r="G52" s="30">
        <f t="shared" si="9"/>
        <v>3.0378531572634395E-2</v>
      </c>
      <c r="H52" s="243">
        <f t="shared" si="2"/>
        <v>5.5164456277617874E-2</v>
      </c>
      <c r="I52" s="30">
        <f t="shared" si="3"/>
        <v>4.0236892033168408</v>
      </c>
    </row>
    <row r="53" spans="2:9" s="24" customFormat="1" x14ac:dyDescent="0.25">
      <c r="B53" s="162">
        <v>43</v>
      </c>
      <c r="C53" s="30">
        <v>1.8344794389700327</v>
      </c>
      <c r="D53" s="30">
        <v>0.44892500404999996</v>
      </c>
      <c r="E53" s="30">
        <f t="shared" si="8"/>
        <v>2.2206848498345733</v>
      </c>
      <c r="F53" s="30">
        <v>73.116031874406701</v>
      </c>
      <c r="G53" s="30">
        <f t="shared" si="9"/>
        <v>3.0372064688208203E-2</v>
      </c>
      <c r="H53" s="243">
        <f t="shared" si="2"/>
        <v>5.5114212968145462E-2</v>
      </c>
      <c r="I53" s="30">
        <f t="shared" si="3"/>
        <v>4.0297325521117626</v>
      </c>
    </row>
    <row r="54" spans="2:9" s="24" customFormat="1" x14ac:dyDescent="0.25">
      <c r="B54" s="162">
        <v>44</v>
      </c>
      <c r="C54" s="30">
        <v>1.8364384106700116</v>
      </c>
      <c r="D54" s="30">
        <v>0.44848665759999995</v>
      </c>
      <c r="E54" s="30">
        <f t="shared" si="8"/>
        <v>2.2253189749838835</v>
      </c>
      <c r="F54" s="30">
        <v>73.26771560947769</v>
      </c>
      <c r="G54" s="30">
        <f t="shared" si="9"/>
        <v>3.0372435614684608E-2</v>
      </c>
      <c r="H54" s="243">
        <f t="shared" si="2"/>
        <v>5.5071080388579566E-2</v>
      </c>
      <c r="I54" s="30">
        <f t="shared" si="3"/>
        <v>4.0349322562171315</v>
      </c>
    </row>
    <row r="55" spans="2:9" s="24" customFormat="1" x14ac:dyDescent="0.25">
      <c r="B55" s="162">
        <v>45</v>
      </c>
      <c r="C55" s="30">
        <v>1.8380807565988027</v>
      </c>
      <c r="D55" s="30">
        <v>0.44800141874999999</v>
      </c>
      <c r="E55" s="30">
        <f t="shared" si="8"/>
        <v>2.229683690450925</v>
      </c>
      <c r="F55" s="30">
        <v>73.395000406787247</v>
      </c>
      <c r="G55" s="30">
        <f t="shared" si="9"/>
        <v>3.0379231256802794E-2</v>
      </c>
      <c r="H55" s="243">
        <f t="shared" si="2"/>
        <v>5.503498068420587E-2</v>
      </c>
      <c r="I55" s="30">
        <f t="shared" si="3"/>
        <v>4.0392924297048181</v>
      </c>
    </row>
    <row r="56" spans="2:9" s="24" customFormat="1" x14ac:dyDescent="0.25">
      <c r="B56" s="162">
        <v>46</v>
      </c>
      <c r="C56" s="30">
        <v>1.839408078227633</v>
      </c>
      <c r="D56" s="30">
        <v>0.44747605639999999</v>
      </c>
      <c r="E56" s="30">
        <f t="shared" si="8"/>
        <v>2.2337531121576131</v>
      </c>
      <c r="F56" s="30">
        <v>73.497948540221557</v>
      </c>
      <c r="G56" s="30">
        <f t="shared" si="9"/>
        <v>3.0392047077820106E-2</v>
      </c>
      <c r="H56" s="243">
        <f t="shared" si="2"/>
        <v>5.5005846225955494E-2</v>
      </c>
      <c r="I56" s="30">
        <f t="shared" si="3"/>
        <v>4.0428168553266168</v>
      </c>
    </row>
    <row r="57" spans="2:9" s="24" customFormat="1" x14ac:dyDescent="0.25">
      <c r="B57" s="162">
        <v>47</v>
      </c>
      <c r="C57" s="30">
        <v>1.8404218197342088</v>
      </c>
      <c r="D57" s="30">
        <v>0.44691733945000001</v>
      </c>
      <c r="E57" s="30">
        <f t="shared" si="8"/>
        <v>2.2375008760463069</v>
      </c>
      <c r="F57" s="30">
        <v>73.576622283666779</v>
      </c>
      <c r="G57" s="30">
        <f t="shared" si="9"/>
        <v>3.0410486464299245E-2</v>
      </c>
      <c r="H57" s="243">
        <f t="shared" si="2"/>
        <v>5.4983619327458676E-2</v>
      </c>
      <c r="I57" s="30">
        <f t="shared" si="3"/>
        <v>4.045508991045347</v>
      </c>
    </row>
    <row r="58" spans="2:9" s="24" customFormat="1" x14ac:dyDescent="0.25">
      <c r="B58" s="162">
        <v>48</v>
      </c>
      <c r="C58" s="30">
        <v>1.8411232708916732</v>
      </c>
      <c r="D58" s="30">
        <v>0.4463320368</v>
      </c>
      <c r="E58" s="30">
        <f t="shared" si="8"/>
        <v>2.2409001981371079</v>
      </c>
      <c r="F58" s="30">
        <v>73.6310839110091</v>
      </c>
      <c r="G58" s="30">
        <f t="shared" si="9"/>
        <v>3.0434160127881197E-2</v>
      </c>
      <c r="H58" s="243">
        <f t="shared" si="2"/>
        <v>5.496825200429295E-2</v>
      </c>
      <c r="I58" s="30">
        <f t="shared" si="3"/>
        <v>4.0473719757695887</v>
      </c>
    </row>
    <row r="59" spans="2:9" s="24" customFormat="1" x14ac:dyDescent="0.25">
      <c r="B59" s="97">
        <v>49</v>
      </c>
      <c r="C59" s="100">
        <v>1.8415135695579758</v>
      </c>
      <c r="D59" s="100">
        <v>0.44572691734999997</v>
      </c>
      <c r="E59" s="100">
        <f t="shared" si="8"/>
        <v>2.2439239335726131</v>
      </c>
      <c r="F59" s="100">
        <v>73.66139569613469</v>
      </c>
      <c r="G59" s="100">
        <f t="shared" si="9"/>
        <v>3.0462685540593969E-2</v>
      </c>
      <c r="H59" s="242">
        <f t="shared" si="2"/>
        <v>5.4959705773462333E-2</v>
      </c>
      <c r="I59" s="100">
        <f t="shared" si="3"/>
        <v>4.048408634322147</v>
      </c>
    </row>
    <row r="60" spans="2:9" s="24" customFormat="1" x14ac:dyDescent="0.25">
      <c r="B60" s="97">
        <v>50</v>
      </c>
      <c r="C60" s="100">
        <v>1.8415937037793497</v>
      </c>
      <c r="D60" s="100">
        <v>0.44510874999999994</v>
      </c>
      <c r="E60" s="100">
        <f t="shared" si="8"/>
        <v>2.2465446347396631</v>
      </c>
      <c r="F60" s="100">
        <v>73.667619912929737</v>
      </c>
      <c r="G60" s="100">
        <f t="shared" si="9"/>
        <v>3.0495686400550615E-2</v>
      </c>
      <c r="H60" s="242">
        <f t="shared" si="2"/>
        <v>5.4957951491487043E-2</v>
      </c>
      <c r="I60" s="100">
        <f t="shared" si="3"/>
        <v>4.0486214816680972</v>
      </c>
    </row>
    <row r="61" spans="2:9" s="24" customFormat="1" x14ac:dyDescent="0.25">
      <c r="B61" s="162">
        <v>51</v>
      </c>
      <c r="C61" s="30">
        <v>1.8413645135192667</v>
      </c>
      <c r="D61" s="30">
        <v>0.44448430365000002</v>
      </c>
      <c r="E61" s="30">
        <f t="shared" si="8"/>
        <v>2.2487346085528519</v>
      </c>
      <c r="F61" s="30">
        <v>73.649818835280385</v>
      </c>
      <c r="G61" s="30">
        <f t="shared" si="9"/>
        <v>3.0532792125153786E-2</v>
      </c>
      <c r="H61" s="243">
        <f t="shared" si="2"/>
        <v>5.4962969229796071E-2</v>
      </c>
      <c r="I61" s="30">
        <f t="shared" si="3"/>
        <v>4.048012726423571</v>
      </c>
    </row>
    <row r="62" spans="2:9" s="24" customFormat="1" x14ac:dyDescent="0.25">
      <c r="B62" s="162">
        <v>52</v>
      </c>
      <c r="C62" s="30">
        <v>1.8408266920219878</v>
      </c>
      <c r="D62" s="30">
        <v>0.4438603472</v>
      </c>
      <c r="E62" s="30">
        <f t="shared" si="8"/>
        <v>2.2504659729808312</v>
      </c>
      <c r="F62" s="30">
        <v>73.608054737072848</v>
      </c>
      <c r="G62" s="30">
        <f t="shared" si="9"/>
        <v>3.0573637369163884E-2</v>
      </c>
      <c r="H62" s="243">
        <f t="shared" si="2"/>
        <v>5.49747481864215E-2</v>
      </c>
      <c r="I62" s="30">
        <f t="shared" si="3"/>
        <v>4.0465842736629103</v>
      </c>
    </row>
    <row r="63" spans="2:9" s="24" customFormat="1" x14ac:dyDescent="0.25">
      <c r="B63" s="162">
        <v>53</v>
      </c>
      <c r="C63" s="30">
        <v>1.8399807868177513</v>
      </c>
      <c r="D63" s="30">
        <v>0.44324364954999995</v>
      </c>
      <c r="E63" s="30">
        <f t="shared" si="8"/>
        <v>2.2517107128925757</v>
      </c>
      <c r="F63" s="30">
        <v>73.542389892193299</v>
      </c>
      <c r="G63" s="30">
        <f t="shared" si="9"/>
        <v>3.0617861565192351E-2</v>
      </c>
      <c r="H63" s="243">
        <f t="shared" si="2"/>
        <v>5.4993286633273908E-2</v>
      </c>
      <c r="I63" s="30">
        <f t="shared" si="3"/>
        <v>4.0443377270373722</v>
      </c>
    </row>
    <row r="64" spans="2:9" s="24" customFormat="1" x14ac:dyDescent="0.25">
      <c r="B64" s="162">
        <v>54</v>
      </c>
      <c r="C64" s="30">
        <v>1.8388272003745252</v>
      </c>
      <c r="D64" s="30">
        <v>0.44264097959999998</v>
      </c>
      <c r="E64" s="30">
        <f t="shared" si="8"/>
        <v>2.2524407352978915</v>
      </c>
      <c r="F64" s="30">
        <v>73.452886574527895</v>
      </c>
      <c r="G64" s="30">
        <f t="shared" si="9"/>
        <v>3.0665108484368216E-2</v>
      </c>
      <c r="H64" s="243">
        <f t="shared" si="2"/>
        <v>5.5018591898558983E-2</v>
      </c>
      <c r="I64" s="30">
        <f t="shared" si="3"/>
        <v>4.0412743902150927</v>
      </c>
    </row>
    <row r="65" spans="2:9" s="24" customFormat="1" x14ac:dyDescent="0.25">
      <c r="B65" s="162">
        <v>55</v>
      </c>
      <c r="C65" s="30">
        <v>1.8373661903992933</v>
      </c>
      <c r="D65" s="30">
        <v>0.44205910625</v>
      </c>
      <c r="E65" s="30">
        <f t="shared" si="8"/>
        <v>2.2526279240537286</v>
      </c>
      <c r="F65" s="30">
        <v>73.339607057962809</v>
      </c>
      <c r="G65" s="30">
        <f t="shared" si="9"/>
        <v>3.0715025815087876E-2</v>
      </c>
      <c r="H65" s="243">
        <f t="shared" si="2"/>
        <v>5.5050680384167265E-2</v>
      </c>
      <c r="I65" s="30">
        <f t="shared" si="3"/>
        <v>4.0373952676483285</v>
      </c>
    </row>
    <row r="66" spans="2:9" s="24" customFormat="1" x14ac:dyDescent="0.25">
      <c r="B66" s="162">
        <v>56</v>
      </c>
      <c r="C66" s="30">
        <v>1.8355978697898137</v>
      </c>
      <c r="D66" s="30">
        <v>0.44150479839999995</v>
      </c>
      <c r="E66" s="30">
        <f t="shared" si="8"/>
        <v>2.2522441941054523</v>
      </c>
      <c r="F66" s="30">
        <v>73.202613616384227</v>
      </c>
      <c r="G66" s="30">
        <f t="shared" si="9"/>
        <v>3.0767264757898677E-2</v>
      </c>
      <c r="H66" s="243">
        <f t="shared" si="2"/>
        <v>5.5089577618134149E-2</v>
      </c>
      <c r="I66" s="30">
        <f t="shared" si="3"/>
        <v>4.0327010646700829</v>
      </c>
    </row>
    <row r="67" spans="2:9" s="24" customFormat="1" x14ac:dyDescent="0.25">
      <c r="B67" s="162">
        <v>57</v>
      </c>
      <c r="C67" s="30">
        <v>1.8335222062358454</v>
      </c>
      <c r="D67" s="30">
        <v>0.44098482495000008</v>
      </c>
      <c r="E67" s="30">
        <f t="shared" si="8"/>
        <v>2.2512615453305242</v>
      </c>
      <c r="F67" s="30">
        <v>73.041968523678321</v>
      </c>
      <c r="G67" s="30">
        <f t="shared" si="9"/>
        <v>3.0821479634694175E-2</v>
      </c>
      <c r="H67" s="243">
        <f t="shared" si="2"/>
        <v>5.5135318342543052E-2</v>
      </c>
      <c r="I67" s="30">
        <f t="shared" si="3"/>
        <v>4.0271921869190139</v>
      </c>
    </row>
    <row r="68" spans="2:9" s="24" customFormat="1" x14ac:dyDescent="0.25">
      <c r="B68" s="97">
        <v>58</v>
      </c>
      <c r="C68" s="100">
        <v>1.8311390214668306</v>
      </c>
      <c r="D68" s="100">
        <v>0.44050595479999999</v>
      </c>
      <c r="E68" s="100">
        <f t="shared" si="8"/>
        <v>2.249652116050235</v>
      </c>
      <c r="F68" s="100">
        <v>72.857734053731278</v>
      </c>
      <c r="G68" s="100">
        <f t="shared" si="9"/>
        <v>3.0877327510503642E-2</v>
      </c>
      <c r="H68" s="242">
        <f t="shared" si="2"/>
        <v>5.5187946637512565E-2</v>
      </c>
      <c r="I68" s="100">
        <f t="shared" si="3"/>
        <v>4.0208687390874038</v>
      </c>
    </row>
    <row r="69" spans="2:9" s="24" customFormat="1" x14ac:dyDescent="0.25">
      <c r="B69" s="162">
        <v>59</v>
      </c>
      <c r="C69" s="30">
        <v>1.8284479901409971</v>
      </c>
      <c r="D69" s="30">
        <v>0.44007495685000003</v>
      </c>
      <c r="E69" s="30">
        <f t="shared" si="8"/>
        <v>2.2473882362741304</v>
      </c>
      <c r="F69" s="30">
        <v>72.64997248042927</v>
      </c>
      <c r="G69" s="30">
        <f t="shared" si="9"/>
        <v>3.0934467826254725E-2</v>
      </c>
      <c r="H69" s="243">
        <f t="shared" si="2"/>
        <v>5.5247516082197447E-2</v>
      </c>
      <c r="I69" s="30">
        <f t="shared" si="3"/>
        <v>4.0137305229837184</v>
      </c>
    </row>
    <row r="70" spans="2:9" s="24" customFormat="1" x14ac:dyDescent="0.25">
      <c r="B70" s="97">
        <v>60</v>
      </c>
      <c r="C70" s="100">
        <v>1.8254486383687709</v>
      </c>
      <c r="D70" s="100">
        <v>0.43969860000000005</v>
      </c>
      <c r="E70" s="100">
        <f t="shared" si="8"/>
        <v>2.244442480740644</v>
      </c>
      <c r="F70" s="100">
        <v>72.418746077658469</v>
      </c>
      <c r="G70" s="100">
        <f t="shared" si="9"/>
        <v>3.0992562040963938E-2</v>
      </c>
      <c r="H70" s="242">
        <f t="shared" si="2"/>
        <v>5.5314089954021067E-2</v>
      </c>
      <c r="I70" s="100">
        <f t="shared" si="3"/>
        <v>4.0057770348970108</v>
      </c>
    </row>
    <row r="71" spans="2:9" s="24" customFormat="1" x14ac:dyDescent="0.25">
      <c r="H71" s="240"/>
    </row>
    <row r="72" spans="2:9" s="24" customFormat="1" x14ac:dyDescent="0.25">
      <c r="H72" s="240"/>
    </row>
    <row r="73" spans="2:9" s="24" customFormat="1" x14ac:dyDescent="0.25">
      <c r="H73" s="240"/>
    </row>
    <row r="74" spans="2:9" s="24" customFormat="1" x14ac:dyDescent="0.25">
      <c r="H74" s="240"/>
    </row>
    <row r="75" spans="2:9" s="24" customFormat="1" x14ac:dyDescent="0.25">
      <c r="H75" s="240"/>
    </row>
    <row r="76" spans="2:9" s="24" customFormat="1" x14ac:dyDescent="0.25">
      <c r="H76" s="240"/>
    </row>
    <row r="77" spans="2:9" s="24" customFormat="1" x14ac:dyDescent="0.25">
      <c r="H77" s="240"/>
    </row>
    <row r="78" spans="2:9" s="24" customFormat="1" x14ac:dyDescent="0.25">
      <c r="H78" s="240"/>
    </row>
    <row r="79" spans="2:9" s="24" customFormat="1" x14ac:dyDescent="0.25">
      <c r="H79" s="240"/>
    </row>
    <row r="80" spans="2:9" s="24" customFormat="1" x14ac:dyDescent="0.25">
      <c r="H80" s="240"/>
    </row>
    <row r="81" spans="8:8" s="24" customFormat="1" x14ac:dyDescent="0.25">
      <c r="H81" s="240"/>
    </row>
    <row r="82" spans="8:8" s="24" customFormat="1" x14ac:dyDescent="0.25">
      <c r="H82" s="240"/>
    </row>
    <row r="83" spans="8:8" s="24" customFormat="1" x14ac:dyDescent="0.25">
      <c r="H83" s="240"/>
    </row>
    <row r="84" spans="8:8" s="24" customFormat="1" x14ac:dyDescent="0.25">
      <c r="H84" s="240"/>
    </row>
    <row r="85" spans="8:8" s="24" customFormat="1" x14ac:dyDescent="0.25">
      <c r="H85" s="240"/>
    </row>
    <row r="86" spans="8:8" s="24" customFormat="1" x14ac:dyDescent="0.25">
      <c r="H86" s="240"/>
    </row>
    <row r="87" spans="8:8" s="24" customFormat="1" x14ac:dyDescent="0.25">
      <c r="H87" s="240"/>
    </row>
    <row r="88" spans="8:8" s="24" customFormat="1" x14ac:dyDescent="0.25">
      <c r="H88" s="240"/>
    </row>
    <row r="89" spans="8:8" s="24" customFormat="1" x14ac:dyDescent="0.25">
      <c r="H89" s="240"/>
    </row>
    <row r="90" spans="8:8" s="24" customFormat="1" x14ac:dyDescent="0.25">
      <c r="H90" s="240"/>
    </row>
    <row r="91" spans="8:8" s="24" customFormat="1" x14ac:dyDescent="0.25">
      <c r="H91" s="240"/>
    </row>
    <row r="92" spans="8:8" s="24" customFormat="1" x14ac:dyDescent="0.25">
      <c r="H92" s="240"/>
    </row>
    <row r="93" spans="8:8" s="24" customFormat="1" x14ac:dyDescent="0.25">
      <c r="H93" s="240"/>
    </row>
    <row r="94" spans="8:8" s="24" customFormat="1" x14ac:dyDescent="0.25">
      <c r="H94" s="240"/>
    </row>
    <row r="95" spans="8:8" s="24" customFormat="1" x14ac:dyDescent="0.25">
      <c r="H95" s="240"/>
    </row>
    <row r="96" spans="8:8" s="24" customFormat="1" x14ac:dyDescent="0.25">
      <c r="H96" s="240"/>
    </row>
    <row r="97" spans="8:8" s="24" customFormat="1" x14ac:dyDescent="0.25">
      <c r="H97" s="240"/>
    </row>
    <row r="98" spans="8:8" s="24" customFormat="1" x14ac:dyDescent="0.25">
      <c r="H98" s="240"/>
    </row>
    <row r="99" spans="8:8" s="24" customFormat="1" x14ac:dyDescent="0.25">
      <c r="H99" s="240"/>
    </row>
    <row r="100" spans="8:8" s="24" customFormat="1" x14ac:dyDescent="0.25">
      <c r="H100" s="240"/>
    </row>
    <row r="101" spans="8:8" s="24" customFormat="1" x14ac:dyDescent="0.25">
      <c r="H101" s="240"/>
    </row>
    <row r="102" spans="8:8" s="24" customFormat="1" x14ac:dyDescent="0.25">
      <c r="H102" s="240"/>
    </row>
  </sheetData>
  <mergeCells count="2">
    <mergeCell ref="B2:D2"/>
    <mergeCell ref="K28:M28"/>
  </mergeCell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3:AO137"/>
  <sheetViews>
    <sheetView zoomScale="90" zoomScaleNormal="90" workbookViewId="0">
      <selection activeCell="F24" sqref="F24"/>
    </sheetView>
  </sheetViews>
  <sheetFormatPr defaultColWidth="9.140625" defaultRowHeight="15.75" x14ac:dyDescent="0.25"/>
  <cols>
    <col min="1" max="1" width="9.140625" style="3"/>
    <col min="2" max="2" width="20" style="2" bestFit="1" customWidth="1"/>
    <col min="3" max="3" width="16.140625" style="2" customWidth="1"/>
    <col min="4" max="4" width="21.140625" style="2" customWidth="1"/>
    <col min="5" max="5" width="16.140625" style="3" customWidth="1"/>
    <col min="6" max="6" width="19.7109375" style="2" customWidth="1"/>
    <col min="7" max="7" width="11.85546875" style="2" bestFit="1" customWidth="1"/>
    <col min="8" max="8" width="9.140625" style="3"/>
    <col min="9" max="10" width="13.140625" style="3" bestFit="1" customWidth="1"/>
    <col min="11" max="16384" width="9.140625" style="3"/>
  </cols>
  <sheetData>
    <row r="3" spans="2:41" ht="35.25" customHeight="1" x14ac:dyDescent="0.25">
      <c r="B3" s="339" t="s">
        <v>61</v>
      </c>
      <c r="C3" s="339"/>
      <c r="D3" s="339"/>
      <c r="E3" s="339"/>
      <c r="F3" s="339"/>
      <c r="G3" s="339"/>
    </row>
    <row r="4" spans="2:41" s="2" customFormat="1" ht="63" x14ac:dyDescent="0.25">
      <c r="B4" s="5" t="s">
        <v>44</v>
      </c>
      <c r="C4" s="5" t="s">
        <v>49</v>
      </c>
      <c r="D4" s="5" t="s">
        <v>45</v>
      </c>
      <c r="E4" s="17" t="s">
        <v>57</v>
      </c>
      <c r="F4" s="17" t="s">
        <v>56</v>
      </c>
      <c r="G4" s="17">
        <v>3.5</v>
      </c>
    </row>
    <row r="5" spans="2:41" s="2" customFormat="1" ht="63" x14ac:dyDescent="0.25">
      <c r="B5" s="5" t="s">
        <v>46</v>
      </c>
      <c r="C5" s="5" t="s">
        <v>48</v>
      </c>
      <c r="D5" s="5" t="s">
        <v>47</v>
      </c>
      <c r="E5" s="5" t="s">
        <v>58</v>
      </c>
      <c r="F5" s="5" t="s">
        <v>59</v>
      </c>
      <c r="G5" s="5">
        <v>0</v>
      </c>
    </row>
    <row r="6" spans="2:41" s="2" customFormat="1" ht="31.5" x14ac:dyDescent="0.25">
      <c r="B6" s="5" t="s">
        <v>51</v>
      </c>
      <c r="C6" s="5" t="s">
        <v>52</v>
      </c>
      <c r="D6" s="5" t="s">
        <v>50</v>
      </c>
      <c r="E6" s="5"/>
      <c r="F6" s="5"/>
      <c r="G6" s="5"/>
      <c r="I6" s="14"/>
    </row>
    <row r="7" spans="2:41" s="2" customFormat="1" ht="47.25" x14ac:dyDescent="0.25">
      <c r="B7" s="5" t="s">
        <v>113</v>
      </c>
      <c r="C7" s="5" t="s">
        <v>112</v>
      </c>
      <c r="D7" s="5" t="s">
        <v>111</v>
      </c>
      <c r="E7" s="5"/>
      <c r="F7" s="5"/>
      <c r="G7" s="5"/>
    </row>
    <row r="8" spans="2:41" s="2" customFormat="1" x14ac:dyDescent="0.25"/>
    <row r="9" spans="2:41" s="2" customFormat="1" ht="42" customHeight="1" x14ac:dyDescent="0.25">
      <c r="B9" s="97" t="s">
        <v>60</v>
      </c>
      <c r="C9" s="97" t="s">
        <v>11</v>
      </c>
      <c r="D9" s="97" t="s">
        <v>43</v>
      </c>
      <c r="E9" s="97" t="s">
        <v>53</v>
      </c>
      <c r="F9" s="245" t="s">
        <v>54</v>
      </c>
      <c r="G9" s="97" t="s">
        <v>55</v>
      </c>
    </row>
    <row r="10" spans="2:41" s="24" customFormat="1" ht="15.75" customHeight="1" x14ac:dyDescent="0.25">
      <c r="B10" s="97">
        <v>0.5</v>
      </c>
      <c r="C10" s="100">
        <v>0.36748414020496839</v>
      </c>
      <c r="D10" s="100">
        <v>0.35899999999999999</v>
      </c>
      <c r="E10" s="100">
        <f>3.5 * C10 * (1 + 0)</f>
        <v>1.2861944907173894</v>
      </c>
      <c r="F10" s="246">
        <f>E10 * 60</f>
        <v>77.171669443043371</v>
      </c>
      <c r="G10" s="80">
        <f>F10 * (1 - D10)</f>
        <v>49.467040112990802</v>
      </c>
    </row>
    <row r="11" spans="2:41" s="24" customFormat="1" ht="15.75" customHeight="1" x14ac:dyDescent="0.25">
      <c r="B11" s="97">
        <v>1</v>
      </c>
      <c r="C11" s="100">
        <v>0.45489149627609493</v>
      </c>
      <c r="D11" s="100">
        <v>0.35899999999999999</v>
      </c>
      <c r="E11" s="100">
        <f>3.5 * C11 * (1 + 0)</f>
        <v>1.5921202369663323</v>
      </c>
      <c r="F11" s="246">
        <f>E11 * 60</f>
        <v>95.527214217979946</v>
      </c>
      <c r="G11" s="80">
        <f>F11 * (1 - D11)</f>
        <v>61.232944313725149</v>
      </c>
      <c r="I11" s="340" t="s">
        <v>231</v>
      </c>
      <c r="J11" s="341"/>
      <c r="K11" s="342"/>
    </row>
    <row r="12" spans="2:41" s="24" customFormat="1" ht="15.75" customHeight="1" x14ac:dyDescent="0.25">
      <c r="B12" s="97">
        <v>1.5</v>
      </c>
      <c r="C12" s="100">
        <v>0.52</v>
      </c>
      <c r="D12" s="100">
        <v>0.35899999999999999</v>
      </c>
      <c r="E12" s="100">
        <f>3.5 * C12 * (1 + 0)</f>
        <v>1.82</v>
      </c>
      <c r="F12" s="246">
        <f>E12 * 60</f>
        <v>109.2</v>
      </c>
      <c r="G12" s="80">
        <f>F12 * (1 - D12)</f>
        <v>69.997200000000007</v>
      </c>
      <c r="I12" s="224"/>
      <c r="J12" s="225"/>
      <c r="K12" s="226"/>
    </row>
    <row r="13" spans="2:41" s="221" customFormat="1" x14ac:dyDescent="0.25">
      <c r="B13" s="97">
        <v>2</v>
      </c>
      <c r="C13" s="100">
        <v>0.5745329000718814</v>
      </c>
      <c r="D13" s="100">
        <v>0.34298785720000002</v>
      </c>
      <c r="E13" s="100">
        <f t="shared" ref="E13:E73" si="0">3.5 * C13 * (1 + 0)</f>
        <v>2.0108651502515849</v>
      </c>
      <c r="F13" s="246">
        <f t="shared" ref="F13:F73" si="1">E13 * 60</f>
        <v>120.65190901509509</v>
      </c>
      <c r="G13" s="80">
        <f t="shared" ref="G13:G73" si="2">F13 * (1 - D13)</f>
        <v>79.269769274918261</v>
      </c>
      <c r="H13" s="24"/>
      <c r="I13" s="227" t="s">
        <v>15</v>
      </c>
      <c r="J13" s="228" t="s">
        <v>232</v>
      </c>
      <c r="K13" s="227" t="s">
        <v>233</v>
      </c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</row>
    <row r="14" spans="2:41" s="221" customFormat="1" x14ac:dyDescent="0.25">
      <c r="B14" s="97">
        <v>3</v>
      </c>
      <c r="C14" s="100">
        <v>0.65722835067297258</v>
      </c>
      <c r="D14" s="100">
        <v>0.35030012205</v>
      </c>
      <c r="E14" s="100">
        <f t="shared" si="0"/>
        <v>2.3002992273554042</v>
      </c>
      <c r="F14" s="246">
        <f t="shared" si="1"/>
        <v>138.01795364132425</v>
      </c>
      <c r="G14" s="80">
        <f t="shared" si="2"/>
        <v>89.670247635677129</v>
      </c>
      <c r="H14" s="24"/>
      <c r="I14" s="227" t="s">
        <v>234</v>
      </c>
      <c r="J14" s="227">
        <f>0.6*60</f>
        <v>36</v>
      </c>
      <c r="K14" s="227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</row>
    <row r="15" spans="2:41" s="24" customFormat="1" x14ac:dyDescent="0.25">
      <c r="B15" s="134">
        <v>4</v>
      </c>
      <c r="C15" s="30">
        <v>0.72810004960674624</v>
      </c>
      <c r="D15" s="30">
        <v>0.35728796960000003</v>
      </c>
      <c r="E15" s="30">
        <f t="shared" si="0"/>
        <v>2.5483501736236116</v>
      </c>
      <c r="F15" s="247">
        <f t="shared" si="1"/>
        <v>152.9010104174167</v>
      </c>
      <c r="G15" s="65">
        <f t="shared" si="2"/>
        <v>98.271318855589442</v>
      </c>
      <c r="I15" s="227">
        <v>1</v>
      </c>
      <c r="J15" s="227">
        <f>1.2*60</f>
        <v>72</v>
      </c>
      <c r="K15" s="227">
        <v>95.53</v>
      </c>
    </row>
    <row r="16" spans="2:41" s="221" customFormat="1" x14ac:dyDescent="0.25">
      <c r="B16" s="97">
        <v>4.5</v>
      </c>
      <c r="C16" s="100">
        <v>0.76</v>
      </c>
      <c r="D16" s="100">
        <v>0.36059999999999998</v>
      </c>
      <c r="E16" s="100">
        <f t="shared" si="0"/>
        <v>2.66</v>
      </c>
      <c r="F16" s="246">
        <f t="shared" si="1"/>
        <v>159.60000000000002</v>
      </c>
      <c r="G16" s="80">
        <f t="shared" si="2"/>
        <v>102.04824000000001</v>
      </c>
      <c r="H16" s="24"/>
      <c r="I16" s="227"/>
      <c r="J16" s="227"/>
      <c r="K16" s="227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</row>
    <row r="17" spans="2:41" s="221" customFormat="1" x14ac:dyDescent="0.25">
      <c r="B17" s="97">
        <v>5</v>
      </c>
      <c r="C17" s="100">
        <v>0.79391925200613322</v>
      </c>
      <c r="D17" s="100">
        <v>0.36395816875000003</v>
      </c>
      <c r="E17" s="100">
        <f t="shared" si="0"/>
        <v>2.7787173820214663</v>
      </c>
      <c r="F17" s="246">
        <f t="shared" si="1"/>
        <v>166.72304292128797</v>
      </c>
      <c r="G17" s="80">
        <f t="shared" si="2"/>
        <v>106.04282953122835</v>
      </c>
      <c r="H17" s="24"/>
      <c r="I17" s="227">
        <v>5</v>
      </c>
      <c r="J17" s="227">
        <f>3.4*60</f>
        <v>204</v>
      </c>
      <c r="K17" s="227">
        <v>166.72</v>
      </c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</row>
    <row r="18" spans="2:41" s="221" customFormat="1" x14ac:dyDescent="0.25">
      <c r="B18" s="97">
        <v>6</v>
      </c>
      <c r="C18" s="100">
        <v>0.85943090632727492</v>
      </c>
      <c r="D18" s="100">
        <v>0.37031748840000001</v>
      </c>
      <c r="E18" s="100">
        <f t="shared" si="0"/>
        <v>3.0080081721454621</v>
      </c>
      <c r="F18" s="246">
        <f t="shared" si="1"/>
        <v>180.48049032872774</v>
      </c>
      <c r="G18" s="80">
        <f t="shared" si="2"/>
        <v>113.6454084449928</v>
      </c>
      <c r="H18" s="24"/>
      <c r="I18" s="227">
        <v>10</v>
      </c>
      <c r="J18" s="227">
        <f>5*60</f>
        <v>300</v>
      </c>
      <c r="K18" s="227">
        <v>251.98</v>
      </c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</row>
    <row r="19" spans="2:41" s="24" customFormat="1" x14ac:dyDescent="0.25">
      <c r="B19" s="134">
        <v>7</v>
      </c>
      <c r="C19" s="30">
        <v>0.9293519107771181</v>
      </c>
      <c r="D19" s="30">
        <v>0.37637269745000002</v>
      </c>
      <c r="E19" s="30">
        <f t="shared" si="0"/>
        <v>3.2527316877199133</v>
      </c>
      <c r="F19" s="247">
        <f t="shared" si="1"/>
        <v>195.16390126319479</v>
      </c>
      <c r="G19" s="65">
        <f t="shared" si="2"/>
        <v>121.7095372999007</v>
      </c>
      <c r="I19" s="227">
        <v>15</v>
      </c>
      <c r="J19" s="227">
        <f>6.1*60</f>
        <v>366</v>
      </c>
      <c r="K19" s="227">
        <v>340.8</v>
      </c>
    </row>
    <row r="20" spans="2:41" s="24" customFormat="1" x14ac:dyDescent="0.25">
      <c r="B20" s="134">
        <v>8</v>
      </c>
      <c r="C20" s="30">
        <v>1.0076015223431993</v>
      </c>
      <c r="D20" s="30">
        <v>0.38213056480000002</v>
      </c>
      <c r="E20" s="30">
        <f t="shared" si="0"/>
        <v>3.5266053282011978</v>
      </c>
      <c r="F20" s="247">
        <f t="shared" si="1"/>
        <v>211.59631969207186</v>
      </c>
      <c r="G20" s="65">
        <f t="shared" si="2"/>
        <v>130.73889853853908</v>
      </c>
      <c r="I20" s="227" t="s">
        <v>235</v>
      </c>
      <c r="J20" s="227">
        <f>5.9*60</f>
        <v>354</v>
      </c>
      <c r="K20" s="227">
        <v>365.86</v>
      </c>
    </row>
    <row r="21" spans="2:41" s="24" customFormat="1" x14ac:dyDescent="0.25">
      <c r="B21" s="134">
        <v>9</v>
      </c>
      <c r="C21" s="30">
        <v>1.0972046010210692</v>
      </c>
      <c r="D21" s="30">
        <v>0.38759785935000002</v>
      </c>
      <c r="E21" s="30">
        <f t="shared" si="0"/>
        <v>3.8402161035737423</v>
      </c>
      <c r="F21" s="247">
        <f t="shared" si="1"/>
        <v>230.41296621442453</v>
      </c>
      <c r="G21" s="65">
        <f t="shared" si="2"/>
        <v>141.10539374322971</v>
      </c>
    </row>
    <row r="22" spans="2:41" s="24" customFormat="1" x14ac:dyDescent="0.25">
      <c r="B22" s="162">
        <v>10</v>
      </c>
      <c r="C22" s="30">
        <v>1.1999235804208825</v>
      </c>
      <c r="D22" s="30">
        <v>0.39278135000000003</v>
      </c>
      <c r="E22" s="30">
        <f t="shared" si="0"/>
        <v>4.1997325314730887</v>
      </c>
      <c r="F22" s="247">
        <f t="shared" si="1"/>
        <v>251.98395188838532</v>
      </c>
      <c r="G22" s="65">
        <f t="shared" si="2"/>
        <v>153.00935508733028</v>
      </c>
    </row>
    <row r="23" spans="2:41" s="221" customFormat="1" x14ac:dyDescent="0.25">
      <c r="B23" s="97">
        <v>10.3</v>
      </c>
      <c r="C23" s="100">
        <v>1.23</v>
      </c>
      <c r="D23" s="100">
        <v>0.39400000000000002</v>
      </c>
      <c r="E23" s="100">
        <f t="shared" si="0"/>
        <v>4.3049999999999997</v>
      </c>
      <c r="F23" s="246">
        <f t="shared" si="1"/>
        <v>258.29999999999995</v>
      </c>
      <c r="G23" s="80">
        <f t="shared" si="2"/>
        <v>156.52979999999997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</row>
    <row r="24" spans="2:41" s="24" customFormat="1" x14ac:dyDescent="0.25">
      <c r="B24" s="134">
        <v>11</v>
      </c>
      <c r="C24" s="30">
        <v>1.3126591223931585</v>
      </c>
      <c r="D24" s="30">
        <v>0.39768780565</v>
      </c>
      <c r="E24" s="30">
        <f t="shared" si="0"/>
        <v>4.5943069283760547</v>
      </c>
      <c r="F24" s="247">
        <f t="shared" si="1"/>
        <v>275.65841570256327</v>
      </c>
      <c r="G24" s="65">
        <f t="shared" si="2"/>
        <v>166.0324252528554</v>
      </c>
    </row>
    <row r="25" spans="2:41" s="221" customFormat="1" x14ac:dyDescent="0.25">
      <c r="B25" s="97">
        <v>12</v>
      </c>
      <c r="C25" s="100">
        <v>1.4207481907426538</v>
      </c>
      <c r="D25" s="100">
        <v>0.40232399520000001</v>
      </c>
      <c r="E25" s="100">
        <f t="shared" si="0"/>
        <v>4.9726186675992885</v>
      </c>
      <c r="F25" s="246">
        <f t="shared" si="1"/>
        <v>298.3571200559573</v>
      </c>
      <c r="G25" s="80">
        <f t="shared" si="2"/>
        <v>178.32089151867854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</row>
    <row r="26" spans="2:41" s="221" customFormat="1" x14ac:dyDescent="0.25">
      <c r="B26" s="97">
        <v>13</v>
      </c>
      <c r="C26" s="100">
        <v>1.5086662024414661</v>
      </c>
      <c r="D26" s="100">
        <v>0.40669668754999999</v>
      </c>
      <c r="E26" s="100">
        <f t="shared" si="0"/>
        <v>5.2803317085451313</v>
      </c>
      <c r="F26" s="246">
        <f t="shared" si="1"/>
        <v>316.81990251270787</v>
      </c>
      <c r="G26" s="80">
        <f t="shared" si="2"/>
        <v>187.97029761087566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</row>
    <row r="27" spans="2:41" s="24" customFormat="1" x14ac:dyDescent="0.25">
      <c r="B27" s="134">
        <v>14</v>
      </c>
      <c r="C27" s="30">
        <v>1.5745961074725983</v>
      </c>
      <c r="D27" s="30">
        <v>0.41081265160000002</v>
      </c>
      <c r="E27" s="30">
        <f t="shared" si="0"/>
        <v>5.5110863761540942</v>
      </c>
      <c r="F27" s="247">
        <f t="shared" si="1"/>
        <v>330.66518256924564</v>
      </c>
      <c r="G27" s="65">
        <f t="shared" si="2"/>
        <v>194.82374212617574</v>
      </c>
    </row>
    <row r="28" spans="2:41" s="24" customFormat="1" x14ac:dyDescent="0.25">
      <c r="B28" s="97">
        <v>15</v>
      </c>
      <c r="C28" s="100">
        <v>1.6228785191873281</v>
      </c>
      <c r="D28" s="100">
        <v>0.41467865625</v>
      </c>
      <c r="E28" s="100">
        <f t="shared" si="0"/>
        <v>5.6800748171556483</v>
      </c>
      <c r="F28" s="246">
        <f t="shared" si="1"/>
        <v>340.80448902933892</v>
      </c>
      <c r="G28" s="80">
        <f t="shared" si="2"/>
        <v>199.48014147468479</v>
      </c>
    </row>
    <row r="29" spans="2:41" s="24" customFormat="1" x14ac:dyDescent="0.25">
      <c r="B29" s="134">
        <v>16</v>
      </c>
      <c r="C29" s="30">
        <v>1.657623441223901</v>
      </c>
      <c r="D29" s="30">
        <v>0.41830147039999999</v>
      </c>
      <c r="E29" s="30">
        <f t="shared" si="0"/>
        <v>5.8016820442836536</v>
      </c>
      <c r="F29" s="247">
        <f t="shared" si="1"/>
        <v>348.10092265701923</v>
      </c>
      <c r="G29" s="65">
        <f t="shared" si="2"/>
        <v>202.48979486199141</v>
      </c>
    </row>
    <row r="30" spans="2:41" s="24" customFormat="1" x14ac:dyDescent="0.25">
      <c r="B30" s="134">
        <v>17</v>
      </c>
      <c r="C30" s="30">
        <v>1.6821945646287926</v>
      </c>
      <c r="D30" s="30">
        <v>0.42168786294999999</v>
      </c>
      <c r="E30" s="30">
        <f t="shared" si="0"/>
        <v>5.887680976200774</v>
      </c>
      <c r="F30" s="247">
        <f t="shared" si="1"/>
        <v>353.26085857204646</v>
      </c>
      <c r="G30" s="65">
        <f t="shared" si="2"/>
        <v>204.29504205691799</v>
      </c>
    </row>
    <row r="31" spans="2:41" s="24" customFormat="1" x14ac:dyDescent="0.25">
      <c r="B31" s="134">
        <v>18</v>
      </c>
      <c r="C31" s="30">
        <v>1.6993651152787927</v>
      </c>
      <c r="D31" s="30">
        <v>0.42484460280000003</v>
      </c>
      <c r="E31" s="30">
        <f t="shared" si="0"/>
        <v>5.9477779034757745</v>
      </c>
      <c r="F31" s="247">
        <f t="shared" si="1"/>
        <v>356.86667420854644</v>
      </c>
      <c r="G31" s="65">
        <f t="shared" si="2"/>
        <v>205.25379375185952</v>
      </c>
    </row>
    <row r="32" spans="2:41" s="221" customFormat="1" x14ac:dyDescent="0.25">
      <c r="B32" s="97">
        <v>19</v>
      </c>
      <c r="C32" s="100">
        <v>1.7113198725208658</v>
      </c>
      <c r="D32" s="100">
        <v>0.42777845884999999</v>
      </c>
      <c r="E32" s="100">
        <f t="shared" si="0"/>
        <v>5.9896195538230304</v>
      </c>
      <c r="F32" s="246">
        <f t="shared" si="1"/>
        <v>359.37717322938181</v>
      </c>
      <c r="G32" s="80">
        <f t="shared" si="2"/>
        <v>205.64335991944739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2:41" s="221" customFormat="1" x14ac:dyDescent="0.25">
      <c r="B33" s="97">
        <v>20</v>
      </c>
      <c r="C33" s="100">
        <v>1.719684594176941</v>
      </c>
      <c r="D33" s="100">
        <v>0.4304962</v>
      </c>
      <c r="E33" s="100">
        <f t="shared" si="0"/>
        <v>6.0188960796192932</v>
      </c>
      <c r="F33" s="246">
        <f t="shared" si="1"/>
        <v>361.13376477715758</v>
      </c>
      <c r="G33" s="80">
        <f t="shared" si="2"/>
        <v>205.66705134889739</v>
      </c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2:41" s="24" customFormat="1" x14ac:dyDescent="0.25">
      <c r="B34" s="134">
        <v>21</v>
      </c>
      <c r="C34" s="30">
        <v>1.7256150344033536</v>
      </c>
      <c r="D34" s="30">
        <v>0.43300459515</v>
      </c>
      <c r="E34" s="30">
        <f t="shared" si="0"/>
        <v>6.0396526204117373</v>
      </c>
      <c r="F34" s="247">
        <f t="shared" si="1"/>
        <v>362.37915722470422</v>
      </c>
      <c r="G34" s="65">
        <f t="shared" si="2"/>
        <v>205.46731695982297</v>
      </c>
    </row>
    <row r="35" spans="2:41" s="24" customFormat="1" x14ac:dyDescent="0.25">
      <c r="B35" s="134">
        <v>22</v>
      </c>
      <c r="C35" s="30">
        <v>1.7310712097433181</v>
      </c>
      <c r="D35" s="30">
        <v>0.43531041319999997</v>
      </c>
      <c r="E35" s="30">
        <f t="shared" si="0"/>
        <v>6.0587492341016134</v>
      </c>
      <c r="F35" s="247">
        <f t="shared" si="1"/>
        <v>363.52495404609681</v>
      </c>
      <c r="G35" s="65">
        <f t="shared" si="2"/>
        <v>205.2787560917794</v>
      </c>
    </row>
    <row r="36" spans="2:41" s="24" customFormat="1" x14ac:dyDescent="0.25">
      <c r="B36" s="134">
        <v>23</v>
      </c>
      <c r="C36" s="30">
        <v>1.7247402821960902</v>
      </c>
      <c r="D36" s="30">
        <v>0.43742042305000001</v>
      </c>
      <c r="E36" s="30">
        <f t="shared" si="0"/>
        <v>6.0365909876863153</v>
      </c>
      <c r="F36" s="247">
        <f t="shared" si="1"/>
        <v>362.19545926117894</v>
      </c>
      <c r="G36" s="65">
        <f t="shared" si="2"/>
        <v>203.763768244365</v>
      </c>
    </row>
    <row r="37" spans="2:41" s="24" customFormat="1" x14ac:dyDescent="0.25">
      <c r="B37" s="134">
        <v>24</v>
      </c>
      <c r="C37" s="30">
        <v>1.7336573399662447</v>
      </c>
      <c r="D37" s="30">
        <v>0.43934139360000002</v>
      </c>
      <c r="E37" s="30">
        <f t="shared" si="0"/>
        <v>6.0678006898818566</v>
      </c>
      <c r="F37" s="247">
        <f t="shared" si="1"/>
        <v>364.06804139291137</v>
      </c>
      <c r="G37" s="65">
        <f t="shared" si="2"/>
        <v>204.11788072212718</v>
      </c>
    </row>
    <row r="38" spans="2:41" s="221" customFormat="1" x14ac:dyDescent="0.25">
      <c r="B38" s="97">
        <v>25</v>
      </c>
      <c r="C38" s="102">
        <v>1.7421835611066414</v>
      </c>
      <c r="D38" s="102">
        <v>0.44108009375000001</v>
      </c>
      <c r="E38" s="102">
        <f t="shared" si="0"/>
        <v>6.0976424638732452</v>
      </c>
      <c r="F38" s="246">
        <f t="shared" si="1"/>
        <v>365.85854783239472</v>
      </c>
      <c r="G38" s="103">
        <f t="shared" si="2"/>
        <v>204.48562525524321</v>
      </c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</row>
    <row r="39" spans="2:41" s="24" customFormat="1" x14ac:dyDescent="0.25">
      <c r="B39" s="134">
        <v>26</v>
      </c>
      <c r="C39" s="30">
        <v>1.7503251910137387</v>
      </c>
      <c r="D39" s="30">
        <v>0.4426432924</v>
      </c>
      <c r="E39" s="30">
        <f t="shared" si="0"/>
        <v>6.1261381685480858</v>
      </c>
      <c r="F39" s="247">
        <f t="shared" si="1"/>
        <v>367.56829011288517</v>
      </c>
      <c r="G39" s="65">
        <f t="shared" si="2"/>
        <v>204.86665199547932</v>
      </c>
    </row>
    <row r="40" spans="2:41" s="24" customFormat="1" x14ac:dyDescent="0.25">
      <c r="B40" s="134">
        <v>27</v>
      </c>
      <c r="C40" s="30">
        <v>1.7580881141407607</v>
      </c>
      <c r="D40" s="30">
        <v>0.44403775844999999</v>
      </c>
      <c r="E40" s="30">
        <f t="shared" si="0"/>
        <v>6.1533083994926621</v>
      </c>
      <c r="F40" s="247">
        <f t="shared" si="1"/>
        <v>369.19850396955974</v>
      </c>
      <c r="G40" s="65">
        <f t="shared" si="2"/>
        <v>205.26042784382304</v>
      </c>
    </row>
    <row r="41" spans="2:41" s="24" customFormat="1" x14ac:dyDescent="0.25">
      <c r="B41" s="134">
        <v>28</v>
      </c>
      <c r="C41" s="30">
        <v>1.7654778803718021</v>
      </c>
      <c r="D41" s="30">
        <v>0.44527026079999998</v>
      </c>
      <c r="E41" s="30">
        <f t="shared" si="0"/>
        <v>6.179172581301307</v>
      </c>
      <c r="F41" s="247">
        <f t="shared" si="1"/>
        <v>370.75035487807844</v>
      </c>
      <c r="G41" s="65">
        <f t="shared" si="2"/>
        <v>205.66624766982392</v>
      </c>
    </row>
    <row r="42" spans="2:41" s="24" customFormat="1" x14ac:dyDescent="0.25">
      <c r="B42" s="134">
        <v>29</v>
      </c>
      <c r="C42" s="30">
        <v>1.7724997251255588</v>
      </c>
      <c r="D42" s="30">
        <v>0.44634756835</v>
      </c>
      <c r="E42" s="30">
        <f t="shared" si="0"/>
        <v>6.2037490379394553</v>
      </c>
      <c r="F42" s="247">
        <f t="shared" si="1"/>
        <v>372.2249422763673</v>
      </c>
      <c r="G42" s="65">
        <f t="shared" si="2"/>
        <v>206.08324441209163</v>
      </c>
    </row>
    <row r="43" spans="2:41" s="24" customFormat="1" x14ac:dyDescent="0.25">
      <c r="B43" s="134">
        <v>30</v>
      </c>
      <c r="C43" s="30">
        <v>1.7791585866113251</v>
      </c>
      <c r="D43" s="30">
        <v>0.44727644999999999</v>
      </c>
      <c r="E43" s="30">
        <f t="shared" si="0"/>
        <v>6.2270550531396376</v>
      </c>
      <c r="F43" s="247">
        <f t="shared" si="1"/>
        <v>373.62330318837826</v>
      </c>
      <c r="G43" s="65">
        <f t="shared" si="2"/>
        <v>206.51039850100676</v>
      </c>
    </row>
    <row r="44" spans="2:41" s="24" customFormat="1" x14ac:dyDescent="0.25">
      <c r="B44" s="134">
        <v>31</v>
      </c>
      <c r="C44" s="30">
        <v>1.7854591213030413</v>
      </c>
      <c r="D44" s="30">
        <v>0.44806367465000002</v>
      </c>
      <c r="E44" s="30">
        <f t="shared" si="0"/>
        <v>6.2491069245606443</v>
      </c>
      <c r="F44" s="247">
        <f t="shared" si="1"/>
        <v>374.94641547363864</v>
      </c>
      <c r="G44" s="65">
        <f t="shared" si="2"/>
        <v>206.9465467596745</v>
      </c>
    </row>
    <row r="45" spans="2:41" s="24" customFormat="1" x14ac:dyDescent="0.25">
      <c r="B45" s="134">
        <v>32</v>
      </c>
      <c r="C45" s="30">
        <v>1.791405718020088</v>
      </c>
      <c r="D45" s="30">
        <v>0.44871601119999999</v>
      </c>
      <c r="E45" s="30">
        <f t="shared" si="0"/>
        <v>6.2699200130703083</v>
      </c>
      <c r="F45" s="247">
        <f t="shared" si="1"/>
        <v>376.19520078421851</v>
      </c>
      <c r="G45" s="65">
        <f t="shared" si="2"/>
        <v>207.39039085574089</v>
      </c>
    </row>
    <row r="46" spans="2:41" s="24" customFormat="1" x14ac:dyDescent="0.25">
      <c r="B46" s="134">
        <v>33</v>
      </c>
      <c r="C46" s="30">
        <v>1.7970025108023571</v>
      </c>
      <c r="D46" s="30">
        <v>0.44924022855000001</v>
      </c>
      <c r="E46" s="30">
        <f t="shared" si="0"/>
        <v>6.2895087878082494</v>
      </c>
      <c r="F46" s="247">
        <f t="shared" si="1"/>
        <v>377.37052726849498</v>
      </c>
      <c r="G46" s="65">
        <f t="shared" si="2"/>
        <v>207.84050535036229</v>
      </c>
    </row>
    <row r="47" spans="2:41" s="24" customFormat="1" x14ac:dyDescent="0.25">
      <c r="B47" s="134">
        <v>34</v>
      </c>
      <c r="C47" s="30">
        <v>1.8022533907017566</v>
      </c>
      <c r="D47" s="30">
        <v>0.44964309559999999</v>
      </c>
      <c r="E47" s="30">
        <f t="shared" si="0"/>
        <v>6.3078868674561477</v>
      </c>
      <c r="F47" s="247">
        <f t="shared" si="1"/>
        <v>378.47321204736886</v>
      </c>
      <c r="G47" s="65">
        <f t="shared" si="2"/>
        <v>208.29534538071474</v>
      </c>
    </row>
    <row r="48" spans="2:41" s="24" customFormat="1" x14ac:dyDescent="0.25">
      <c r="B48" s="134">
        <v>35</v>
      </c>
      <c r="C48" s="30">
        <v>1.8071620165861177</v>
      </c>
      <c r="D48" s="30">
        <v>0.44993138125000004</v>
      </c>
      <c r="E48" s="30">
        <f t="shared" si="0"/>
        <v>6.3250670580514123</v>
      </c>
      <c r="F48" s="247">
        <f t="shared" si="1"/>
        <v>379.50402348308472</v>
      </c>
      <c r="G48" s="65">
        <f t="shared" si="2"/>
        <v>208.75325400740795</v>
      </c>
    </row>
    <row r="49" spans="2:41" s="24" customFormat="1" x14ac:dyDescent="0.25">
      <c r="B49" s="134">
        <v>36</v>
      </c>
      <c r="C49" s="30">
        <v>1.8117318250374792</v>
      </c>
      <c r="D49" s="30">
        <v>0.45011185440000001</v>
      </c>
      <c r="E49" s="30">
        <f t="shared" si="0"/>
        <v>6.3410613876311768</v>
      </c>
      <c r="F49" s="247">
        <f t="shared" si="1"/>
        <v>380.46368325787063</v>
      </c>
      <c r="G49" s="65">
        <f t="shared" si="2"/>
        <v>209.21246925481626</v>
      </c>
    </row>
    <row r="50" spans="2:41" s="24" customFormat="1" x14ac:dyDescent="0.25">
      <c r="B50" s="134">
        <v>37</v>
      </c>
      <c r="C50" s="30">
        <v>1.8159660394167008</v>
      </c>
      <c r="D50" s="30">
        <v>0.45019128395000002</v>
      </c>
      <c r="E50" s="30">
        <f t="shared" si="0"/>
        <v>6.3558811379584528</v>
      </c>
      <c r="F50" s="247">
        <f t="shared" si="1"/>
        <v>381.35286827750718</v>
      </c>
      <c r="G50" s="65">
        <f t="shared" si="2"/>
        <v>209.67113086964102</v>
      </c>
    </row>
    <row r="51" spans="2:41" s="24" customFormat="1" x14ac:dyDescent="0.25">
      <c r="B51" s="134">
        <v>38</v>
      </c>
      <c r="C51" s="30">
        <v>1.8198676781583289</v>
      </c>
      <c r="D51" s="30">
        <v>0.45017643880000002</v>
      </c>
      <c r="E51" s="30">
        <f t="shared" si="0"/>
        <v>6.3695368735541518</v>
      </c>
      <c r="F51" s="247">
        <f t="shared" si="1"/>
        <v>382.1722124132491</v>
      </c>
      <c r="G51" s="65">
        <f t="shared" si="2"/>
        <v>210.12728682073546</v>
      </c>
    </row>
    <row r="52" spans="2:41" s="24" customFormat="1" x14ac:dyDescent="0.25">
      <c r="B52" s="134">
        <v>39</v>
      </c>
      <c r="C52" s="30">
        <v>1.823439562352613</v>
      </c>
      <c r="D52" s="30">
        <v>0.45007408785000003</v>
      </c>
      <c r="E52" s="30">
        <f t="shared" si="0"/>
        <v>6.3820384682341453</v>
      </c>
      <c r="F52" s="247">
        <f t="shared" si="1"/>
        <v>382.92230809404873</v>
      </c>
      <c r="G52" s="65">
        <f t="shared" si="2"/>
        <v>210.57889956120306</v>
      </c>
    </row>
    <row r="53" spans="2:41" s="24" customFormat="1" x14ac:dyDescent="0.25">
      <c r="B53" s="134">
        <v>40</v>
      </c>
      <c r="C53" s="30">
        <v>1.8266843226654108</v>
      </c>
      <c r="D53" s="30">
        <v>0.44989099999999999</v>
      </c>
      <c r="E53" s="30">
        <f t="shared" si="0"/>
        <v>6.3933951293289377</v>
      </c>
      <c r="F53" s="247">
        <f t="shared" si="1"/>
        <v>383.60370775973627</v>
      </c>
      <c r="G53" s="65">
        <f t="shared" si="2"/>
        <v>211.02385207200075</v>
      </c>
    </row>
    <row r="54" spans="2:41" s="24" customFormat="1" x14ac:dyDescent="0.25">
      <c r="B54" s="134">
        <v>41</v>
      </c>
      <c r="C54" s="30">
        <v>1.8296044056411949</v>
      </c>
      <c r="D54" s="30">
        <v>0.44963394415000002</v>
      </c>
      <c r="E54" s="30">
        <f t="shared" si="0"/>
        <v>6.4036154197441819</v>
      </c>
      <c r="F54" s="247">
        <f t="shared" si="1"/>
        <v>384.2169251846509</v>
      </c>
      <c r="G54" s="65">
        <f t="shared" si="2"/>
        <v>211.45995370469083</v>
      </c>
    </row>
    <row r="55" spans="2:41" s="24" customFormat="1" x14ac:dyDescent="0.25">
      <c r="B55" s="134">
        <v>42</v>
      </c>
      <c r="C55" s="30">
        <v>1.8322020794294125</v>
      </c>
      <c r="D55" s="30">
        <v>0.44930968920000003</v>
      </c>
      <c r="E55" s="30">
        <f t="shared" si="0"/>
        <v>6.4127072780029435</v>
      </c>
      <c r="F55" s="247">
        <f t="shared" si="1"/>
        <v>384.76243668017662</v>
      </c>
      <c r="G55" s="65">
        <f t="shared" si="2"/>
        <v>211.88494583957177</v>
      </c>
    </row>
    <row r="56" spans="2:41" s="24" customFormat="1" x14ac:dyDescent="0.25">
      <c r="B56" s="134">
        <v>43</v>
      </c>
      <c r="C56" s="30">
        <v>1.8344794389700327</v>
      </c>
      <c r="D56" s="30">
        <v>0.44892500404999996</v>
      </c>
      <c r="E56" s="30">
        <f t="shared" si="0"/>
        <v>6.420678036395115</v>
      </c>
      <c r="F56" s="247">
        <f t="shared" si="1"/>
        <v>385.24068218370689</v>
      </c>
      <c r="G56" s="65">
        <f t="shared" si="2"/>
        <v>212.29650737416154</v>
      </c>
    </row>
    <row r="57" spans="2:41" s="24" customFormat="1" x14ac:dyDescent="0.25">
      <c r="B57" s="134">
        <v>44</v>
      </c>
      <c r="C57" s="30">
        <v>1.8364384106700116</v>
      </c>
      <c r="D57" s="30">
        <v>0.44848665759999995</v>
      </c>
      <c r="E57" s="30">
        <f t="shared" si="0"/>
        <v>6.4275344373450407</v>
      </c>
      <c r="F57" s="247">
        <f t="shared" si="1"/>
        <v>385.65206624070242</v>
      </c>
      <c r="G57" s="65">
        <f t="shared" si="2"/>
        <v>212.69226005587601</v>
      </c>
    </row>
    <row r="58" spans="2:41" s="24" customFormat="1" x14ac:dyDescent="0.25">
      <c r="B58" s="134">
        <v>45</v>
      </c>
      <c r="C58" s="30">
        <v>1.8380807565988027</v>
      </c>
      <c r="D58" s="30">
        <v>0.44800141874999999</v>
      </c>
      <c r="E58" s="30">
        <f t="shared" si="0"/>
        <v>6.4332826480958092</v>
      </c>
      <c r="F58" s="247">
        <f t="shared" si="1"/>
        <v>385.99695888574854</v>
      </c>
      <c r="G58" s="65">
        <f t="shared" si="2"/>
        <v>213.06977367174778</v>
      </c>
    </row>
    <row r="59" spans="2:41" s="24" customFormat="1" x14ac:dyDescent="0.25">
      <c r="B59" s="134">
        <v>46</v>
      </c>
      <c r="C59" s="30">
        <v>1.839408078227633</v>
      </c>
      <c r="D59" s="30">
        <v>0.44747605639999999</v>
      </c>
      <c r="E59" s="30">
        <f t="shared" si="0"/>
        <v>6.4379282737967154</v>
      </c>
      <c r="F59" s="247">
        <f t="shared" si="1"/>
        <v>386.27569642780293</v>
      </c>
      <c r="G59" s="65">
        <f t="shared" si="2"/>
        <v>213.42657110712611</v>
      </c>
    </row>
    <row r="60" spans="2:41" s="24" customFormat="1" x14ac:dyDescent="0.25">
      <c r="B60" s="134">
        <v>47</v>
      </c>
      <c r="C60" s="30">
        <v>1.8404218197342088</v>
      </c>
      <c r="D60" s="30">
        <v>0.44691733945000001</v>
      </c>
      <c r="E60" s="30">
        <f t="shared" si="0"/>
        <v>6.441476369069731</v>
      </c>
      <c r="F60" s="247">
        <f t="shared" si="1"/>
        <v>386.48858214418385</v>
      </c>
      <c r="G60" s="65">
        <f t="shared" si="2"/>
        <v>213.76013328450242</v>
      </c>
    </row>
    <row r="61" spans="2:41" s="24" customFormat="1" x14ac:dyDescent="0.25">
      <c r="B61" s="134">
        <v>48</v>
      </c>
      <c r="C61" s="30">
        <v>1.8411232708916732</v>
      </c>
      <c r="D61" s="30">
        <v>0.4463320368</v>
      </c>
      <c r="E61" s="30">
        <f t="shared" si="0"/>
        <v>6.4439314481208561</v>
      </c>
      <c r="F61" s="247">
        <f t="shared" si="1"/>
        <v>386.63588688725139</v>
      </c>
      <c r="G61" s="65">
        <f t="shared" si="2"/>
        <v>214.06790399289005</v>
      </c>
    </row>
    <row r="62" spans="2:41" s="221" customFormat="1" x14ac:dyDescent="0.25">
      <c r="B62" s="97">
        <v>49</v>
      </c>
      <c r="C62" s="100">
        <v>1.8415135695579758</v>
      </c>
      <c r="D62" s="100">
        <v>0.44572691734999997</v>
      </c>
      <c r="E62" s="100">
        <f t="shared" si="0"/>
        <v>6.4452974934529159</v>
      </c>
      <c r="F62" s="246">
        <f t="shared" si="1"/>
        <v>386.71784960717497</v>
      </c>
      <c r="G62" s="80">
        <f t="shared" si="2"/>
        <v>214.34729461754796</v>
      </c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</row>
    <row r="63" spans="2:41" s="221" customFormat="1" x14ac:dyDescent="0.25">
      <c r="B63" s="97">
        <v>50</v>
      </c>
      <c r="C63" s="100">
        <v>1.8415937037793497</v>
      </c>
      <c r="D63" s="100">
        <v>0.44510874999999994</v>
      </c>
      <c r="E63" s="100">
        <f t="shared" si="0"/>
        <v>6.4455779632277244</v>
      </c>
      <c r="F63" s="246">
        <f t="shared" si="1"/>
        <v>386.73467779366348</v>
      </c>
      <c r="G63" s="80">
        <f t="shared" si="2"/>
        <v>214.59568877927319</v>
      </c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</row>
    <row r="64" spans="2:41" s="24" customFormat="1" x14ac:dyDescent="0.25">
      <c r="B64" s="134">
        <v>51</v>
      </c>
      <c r="C64" s="30">
        <v>1.8413645135192667</v>
      </c>
      <c r="D64" s="30">
        <v>0.44448430365000002</v>
      </c>
      <c r="E64" s="30">
        <f t="shared" si="0"/>
        <v>6.4447757973174333</v>
      </c>
      <c r="F64" s="247">
        <f t="shared" si="1"/>
        <v>386.686547839046</v>
      </c>
      <c r="G64" s="65">
        <f t="shared" si="2"/>
        <v>214.81044689198521</v>
      </c>
    </row>
    <row r="65" spans="2:41" s="24" customFormat="1" x14ac:dyDescent="0.25">
      <c r="B65" s="134">
        <v>52</v>
      </c>
      <c r="C65" s="30">
        <v>1.8408266920219878</v>
      </c>
      <c r="D65" s="30">
        <v>0.4438603472</v>
      </c>
      <c r="E65" s="30">
        <f t="shared" si="0"/>
        <v>6.4428934220769571</v>
      </c>
      <c r="F65" s="247">
        <f t="shared" si="1"/>
        <v>386.5736053246174</v>
      </c>
      <c r="G65" s="65">
        <f t="shared" si="2"/>
        <v>214.98891064687695</v>
      </c>
    </row>
    <row r="66" spans="2:41" s="24" customFormat="1" x14ac:dyDescent="0.25">
      <c r="B66" s="134">
        <v>53</v>
      </c>
      <c r="C66" s="30">
        <v>1.8399807868177513</v>
      </c>
      <c r="D66" s="30">
        <v>0.44324364954999995</v>
      </c>
      <c r="E66" s="30">
        <f t="shared" si="0"/>
        <v>6.4399327538621298</v>
      </c>
      <c r="F66" s="247">
        <f t="shared" si="1"/>
        <v>386.39596523172781</v>
      </c>
      <c r="G66" s="65">
        <f t="shared" si="2"/>
        <v>215.12840743102188</v>
      </c>
    </row>
    <row r="67" spans="2:41" s="24" customFormat="1" x14ac:dyDescent="0.25">
      <c r="B67" s="134">
        <v>54</v>
      </c>
      <c r="C67" s="30">
        <v>1.8388272003745252</v>
      </c>
      <c r="D67" s="30">
        <v>0.44264097959999998</v>
      </c>
      <c r="E67" s="30">
        <f t="shared" si="0"/>
        <v>6.4358952013108386</v>
      </c>
      <c r="F67" s="247">
        <f t="shared" si="1"/>
        <v>386.1537120786503</v>
      </c>
      <c r="G67" s="65">
        <f t="shared" si="2"/>
        <v>215.2262546879802</v>
      </c>
    </row>
    <row r="68" spans="2:41" s="24" customFormat="1" x14ac:dyDescent="0.25">
      <c r="B68" s="134">
        <v>55</v>
      </c>
      <c r="C68" s="30">
        <v>1.8373661903992933</v>
      </c>
      <c r="D68" s="30">
        <v>0.44205910625</v>
      </c>
      <c r="E68" s="30">
        <f t="shared" si="0"/>
        <v>6.4307816663975261</v>
      </c>
      <c r="F68" s="247">
        <f t="shared" si="1"/>
        <v>385.84689998385159</v>
      </c>
      <c r="G68" s="65">
        <f t="shared" si="2"/>
        <v>215.27976422765701</v>
      </c>
    </row>
    <row r="69" spans="2:41" s="24" customFormat="1" x14ac:dyDescent="0.25">
      <c r="B69" s="134">
        <v>56</v>
      </c>
      <c r="C69" s="30">
        <v>1.8355978697898137</v>
      </c>
      <c r="D69" s="30">
        <v>0.44150479839999995</v>
      </c>
      <c r="E69" s="30">
        <f t="shared" si="0"/>
        <v>6.4245925442643479</v>
      </c>
      <c r="F69" s="247">
        <f t="shared" si="1"/>
        <v>385.47555265586089</v>
      </c>
      <c r="G69" s="65">
        <f t="shared" si="2"/>
        <v>215.28624649240643</v>
      </c>
    </row>
    <row r="70" spans="2:41" s="24" customFormat="1" x14ac:dyDescent="0.25">
      <c r="B70" s="134">
        <v>57</v>
      </c>
      <c r="C70" s="30">
        <v>1.8335222062358454</v>
      </c>
      <c r="D70" s="30">
        <v>0.44098482495000008</v>
      </c>
      <c r="E70" s="30">
        <f t="shared" si="0"/>
        <v>6.4173277218254592</v>
      </c>
      <c r="F70" s="247">
        <f t="shared" si="1"/>
        <v>385.03966330952755</v>
      </c>
      <c r="G70" s="65">
        <f t="shared" si="2"/>
        <v>215.24301478616854</v>
      </c>
    </row>
    <row r="71" spans="2:41" s="221" customFormat="1" x14ac:dyDescent="0.25">
      <c r="B71" s="97">
        <v>58</v>
      </c>
      <c r="C71" s="100">
        <v>1.8311390214668306</v>
      </c>
      <c r="D71" s="100">
        <v>0.44050595479999999</v>
      </c>
      <c r="E71" s="100">
        <f t="shared" si="0"/>
        <v>6.4089865751339072</v>
      </c>
      <c r="F71" s="246">
        <f t="shared" si="1"/>
        <v>384.53919450803443</v>
      </c>
      <c r="G71" s="80">
        <f t="shared" si="2"/>
        <v>215.1473894732498</v>
      </c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</row>
    <row r="72" spans="2:41" s="24" customFormat="1" x14ac:dyDescent="0.25">
      <c r="B72" s="134">
        <v>59</v>
      </c>
      <c r="C72" s="30">
        <v>1.8284479901409971</v>
      </c>
      <c r="D72" s="30">
        <v>0.44007495685000003</v>
      </c>
      <c r="E72" s="30">
        <f t="shared" si="0"/>
        <v>6.3995679654934898</v>
      </c>
      <c r="F72" s="247">
        <f t="shared" si="1"/>
        <v>383.97407792960939</v>
      </c>
      <c r="G72" s="65">
        <f t="shared" si="2"/>
        <v>214.99670215321802</v>
      </c>
    </row>
    <row r="73" spans="2:41" s="221" customFormat="1" x14ac:dyDescent="0.25">
      <c r="B73" s="97">
        <v>60</v>
      </c>
      <c r="C73" s="100">
        <v>1.8254486383687709</v>
      </c>
      <c r="D73" s="100">
        <v>0.43969860000000005</v>
      </c>
      <c r="E73" s="100">
        <f t="shared" si="0"/>
        <v>6.3890702342906982</v>
      </c>
      <c r="F73" s="246">
        <f t="shared" si="1"/>
        <v>383.34421405744189</v>
      </c>
      <c r="G73" s="80">
        <f t="shared" si="2"/>
        <v>214.78829981828434</v>
      </c>
    </row>
    <row r="74" spans="2:41" s="2" customFormat="1" x14ac:dyDescent="0.25"/>
    <row r="75" spans="2:41" s="2" customFormat="1" x14ac:dyDescent="0.25"/>
    <row r="76" spans="2:41" s="2" customFormat="1" x14ac:dyDescent="0.25"/>
    <row r="77" spans="2:41" s="2" customFormat="1" x14ac:dyDescent="0.25"/>
    <row r="78" spans="2:41" s="2" customFormat="1" x14ac:dyDescent="0.25">
      <c r="C78" s="2">
        <v>1</v>
      </c>
      <c r="D78" s="14">
        <f>F10</f>
        <v>77.171669443043371</v>
      </c>
    </row>
    <row r="79" spans="2:41" s="2" customFormat="1" x14ac:dyDescent="0.25">
      <c r="C79" s="2">
        <v>2</v>
      </c>
      <c r="D79" s="14">
        <f>F11</f>
        <v>95.527214217979946</v>
      </c>
    </row>
    <row r="80" spans="2:41" s="2" customFormat="1" x14ac:dyDescent="0.25">
      <c r="C80" s="2">
        <v>3</v>
      </c>
      <c r="D80" s="14">
        <f>F13</f>
        <v>120.65190901509509</v>
      </c>
    </row>
    <row r="81" spans="3:4" s="2" customFormat="1" x14ac:dyDescent="0.25">
      <c r="C81" s="2">
        <v>4</v>
      </c>
      <c r="D81" s="14">
        <f>F14</f>
        <v>138.01795364132425</v>
      </c>
    </row>
    <row r="82" spans="3:4" s="2" customFormat="1" x14ac:dyDescent="0.25">
      <c r="C82" s="2">
        <v>5</v>
      </c>
      <c r="D82" s="14">
        <f>F15</f>
        <v>152.9010104174167</v>
      </c>
    </row>
    <row r="83" spans="3:4" s="2" customFormat="1" x14ac:dyDescent="0.25">
      <c r="C83" s="2">
        <v>6</v>
      </c>
      <c r="D83" s="14">
        <f t="shared" ref="D83:D88" si="3">F17</f>
        <v>166.72304292128797</v>
      </c>
    </row>
    <row r="84" spans="3:4" s="2" customFormat="1" x14ac:dyDescent="0.25">
      <c r="C84" s="2">
        <v>7</v>
      </c>
      <c r="D84" s="14">
        <f t="shared" si="3"/>
        <v>180.48049032872774</v>
      </c>
    </row>
    <row r="85" spans="3:4" s="2" customFormat="1" x14ac:dyDescent="0.25">
      <c r="C85" s="2">
        <v>8</v>
      </c>
      <c r="D85" s="14">
        <f t="shared" si="3"/>
        <v>195.16390126319479</v>
      </c>
    </row>
    <row r="86" spans="3:4" s="2" customFormat="1" x14ac:dyDescent="0.25">
      <c r="C86" s="2">
        <v>9</v>
      </c>
      <c r="D86" s="14">
        <f t="shared" si="3"/>
        <v>211.59631969207186</v>
      </c>
    </row>
    <row r="87" spans="3:4" s="2" customFormat="1" x14ac:dyDescent="0.25">
      <c r="C87" s="2">
        <v>10</v>
      </c>
      <c r="D87" s="14">
        <f t="shared" si="3"/>
        <v>230.41296621442453</v>
      </c>
    </row>
    <row r="88" spans="3:4" s="2" customFormat="1" x14ac:dyDescent="0.25">
      <c r="C88" s="2">
        <v>11</v>
      </c>
      <c r="D88" s="14">
        <f t="shared" si="3"/>
        <v>251.98395188838532</v>
      </c>
    </row>
    <row r="89" spans="3:4" s="2" customFormat="1" x14ac:dyDescent="0.25">
      <c r="C89" s="2">
        <v>12</v>
      </c>
      <c r="D89" s="14">
        <f t="shared" ref="D89:D137" si="4">F24</f>
        <v>275.65841570256327</v>
      </c>
    </row>
    <row r="90" spans="3:4" s="2" customFormat="1" x14ac:dyDescent="0.25">
      <c r="C90" s="2">
        <v>13</v>
      </c>
      <c r="D90" s="14">
        <f t="shared" si="4"/>
        <v>298.3571200559573</v>
      </c>
    </row>
    <row r="91" spans="3:4" s="2" customFormat="1" x14ac:dyDescent="0.25">
      <c r="C91" s="2">
        <v>14</v>
      </c>
      <c r="D91" s="14">
        <f t="shared" si="4"/>
        <v>316.81990251270787</v>
      </c>
    </row>
    <row r="92" spans="3:4" s="2" customFormat="1" x14ac:dyDescent="0.25">
      <c r="C92" s="2">
        <v>15</v>
      </c>
      <c r="D92" s="14">
        <f t="shared" si="4"/>
        <v>330.66518256924564</v>
      </c>
    </row>
    <row r="93" spans="3:4" s="2" customFormat="1" x14ac:dyDescent="0.25">
      <c r="C93" s="2">
        <v>16</v>
      </c>
      <c r="D93" s="14">
        <f t="shared" si="4"/>
        <v>340.80448902933892</v>
      </c>
    </row>
    <row r="94" spans="3:4" s="2" customFormat="1" x14ac:dyDescent="0.25">
      <c r="C94" s="2">
        <v>17</v>
      </c>
      <c r="D94" s="14">
        <f t="shared" si="4"/>
        <v>348.10092265701923</v>
      </c>
    </row>
    <row r="95" spans="3:4" s="2" customFormat="1" x14ac:dyDescent="0.25">
      <c r="C95" s="2">
        <v>18</v>
      </c>
      <c r="D95" s="14">
        <f t="shared" si="4"/>
        <v>353.26085857204646</v>
      </c>
    </row>
    <row r="96" spans="3:4" s="2" customFormat="1" x14ac:dyDescent="0.25">
      <c r="C96" s="2">
        <v>19</v>
      </c>
      <c r="D96" s="14">
        <f t="shared" si="4"/>
        <v>356.86667420854644</v>
      </c>
    </row>
    <row r="97" spans="3:4" s="2" customFormat="1" x14ac:dyDescent="0.25">
      <c r="C97" s="2">
        <v>20</v>
      </c>
      <c r="D97" s="14">
        <f t="shared" si="4"/>
        <v>359.37717322938181</v>
      </c>
    </row>
    <row r="98" spans="3:4" s="2" customFormat="1" x14ac:dyDescent="0.25">
      <c r="C98" s="2">
        <v>21</v>
      </c>
      <c r="D98" s="14">
        <f t="shared" si="4"/>
        <v>361.13376477715758</v>
      </c>
    </row>
    <row r="99" spans="3:4" s="2" customFormat="1" x14ac:dyDescent="0.25">
      <c r="C99" s="2">
        <v>22</v>
      </c>
      <c r="D99" s="14">
        <f t="shared" si="4"/>
        <v>362.37915722470422</v>
      </c>
    </row>
    <row r="100" spans="3:4" s="2" customFormat="1" x14ac:dyDescent="0.25">
      <c r="C100" s="2">
        <v>23</v>
      </c>
      <c r="D100" s="14">
        <f t="shared" si="4"/>
        <v>363.52495404609681</v>
      </c>
    </row>
    <row r="101" spans="3:4" s="2" customFormat="1" x14ac:dyDescent="0.25">
      <c r="C101" s="2">
        <v>24</v>
      </c>
      <c r="D101" s="14">
        <f t="shared" si="4"/>
        <v>362.19545926117894</v>
      </c>
    </row>
    <row r="102" spans="3:4" s="2" customFormat="1" x14ac:dyDescent="0.25">
      <c r="C102" s="2">
        <v>25</v>
      </c>
      <c r="D102" s="14">
        <f t="shared" si="4"/>
        <v>364.06804139291137</v>
      </c>
    </row>
    <row r="103" spans="3:4" s="2" customFormat="1" x14ac:dyDescent="0.25">
      <c r="C103" s="2">
        <v>26</v>
      </c>
      <c r="D103" s="14">
        <f t="shared" si="4"/>
        <v>365.85854783239472</v>
      </c>
    </row>
    <row r="104" spans="3:4" s="2" customFormat="1" x14ac:dyDescent="0.25">
      <c r="C104" s="2">
        <v>27</v>
      </c>
      <c r="D104" s="14">
        <f t="shared" si="4"/>
        <v>367.56829011288517</v>
      </c>
    </row>
    <row r="105" spans="3:4" s="2" customFormat="1" x14ac:dyDescent="0.25">
      <c r="C105" s="2">
        <v>28</v>
      </c>
      <c r="D105" s="14">
        <f t="shared" si="4"/>
        <v>369.19850396955974</v>
      </c>
    </row>
    <row r="106" spans="3:4" x14ac:dyDescent="0.25">
      <c r="C106" s="2">
        <v>29</v>
      </c>
      <c r="D106" s="14">
        <f t="shared" si="4"/>
        <v>370.75035487807844</v>
      </c>
    </row>
    <row r="107" spans="3:4" x14ac:dyDescent="0.25">
      <c r="C107" s="2">
        <v>30</v>
      </c>
      <c r="D107" s="14">
        <f t="shared" si="4"/>
        <v>372.2249422763673</v>
      </c>
    </row>
    <row r="108" spans="3:4" x14ac:dyDescent="0.25">
      <c r="C108" s="2">
        <v>31</v>
      </c>
      <c r="D108" s="14">
        <f t="shared" si="4"/>
        <v>373.62330318837826</v>
      </c>
    </row>
    <row r="109" spans="3:4" x14ac:dyDescent="0.25">
      <c r="C109" s="2">
        <v>32</v>
      </c>
      <c r="D109" s="14">
        <f t="shared" si="4"/>
        <v>374.94641547363864</v>
      </c>
    </row>
    <row r="110" spans="3:4" x14ac:dyDescent="0.25">
      <c r="C110" s="2">
        <v>33</v>
      </c>
      <c r="D110" s="14">
        <f t="shared" si="4"/>
        <v>376.19520078421851</v>
      </c>
    </row>
    <row r="111" spans="3:4" x14ac:dyDescent="0.25">
      <c r="C111" s="2">
        <v>34</v>
      </c>
      <c r="D111" s="14">
        <f t="shared" si="4"/>
        <v>377.37052726849498</v>
      </c>
    </row>
    <row r="112" spans="3:4" x14ac:dyDescent="0.25">
      <c r="C112" s="2">
        <v>35</v>
      </c>
      <c r="D112" s="14">
        <f t="shared" si="4"/>
        <v>378.47321204736886</v>
      </c>
    </row>
    <row r="113" spans="3:4" x14ac:dyDescent="0.25">
      <c r="C113" s="2">
        <v>36</v>
      </c>
      <c r="D113" s="14">
        <f t="shared" si="4"/>
        <v>379.50402348308472</v>
      </c>
    </row>
    <row r="114" spans="3:4" x14ac:dyDescent="0.25">
      <c r="C114" s="2">
        <v>37</v>
      </c>
      <c r="D114" s="14">
        <f t="shared" si="4"/>
        <v>380.46368325787063</v>
      </c>
    </row>
    <row r="115" spans="3:4" x14ac:dyDescent="0.25">
      <c r="C115" s="2">
        <v>38</v>
      </c>
      <c r="D115" s="14">
        <f t="shared" si="4"/>
        <v>381.35286827750718</v>
      </c>
    </row>
    <row r="116" spans="3:4" x14ac:dyDescent="0.25">
      <c r="C116" s="2">
        <v>39</v>
      </c>
      <c r="D116" s="14">
        <f t="shared" si="4"/>
        <v>382.1722124132491</v>
      </c>
    </row>
    <row r="117" spans="3:4" x14ac:dyDescent="0.25">
      <c r="C117" s="2">
        <v>40</v>
      </c>
      <c r="D117" s="14">
        <f t="shared" si="4"/>
        <v>382.92230809404873</v>
      </c>
    </row>
    <row r="118" spans="3:4" x14ac:dyDescent="0.25">
      <c r="C118" s="2">
        <v>41</v>
      </c>
      <c r="D118" s="14">
        <f t="shared" si="4"/>
        <v>383.60370775973627</v>
      </c>
    </row>
    <row r="119" spans="3:4" x14ac:dyDescent="0.25">
      <c r="C119" s="2">
        <v>42</v>
      </c>
      <c r="D119" s="14">
        <f t="shared" si="4"/>
        <v>384.2169251846509</v>
      </c>
    </row>
    <row r="120" spans="3:4" x14ac:dyDescent="0.25">
      <c r="C120" s="2">
        <v>43</v>
      </c>
      <c r="D120" s="14">
        <f t="shared" si="4"/>
        <v>384.76243668017662</v>
      </c>
    </row>
    <row r="121" spans="3:4" x14ac:dyDescent="0.25">
      <c r="C121" s="2">
        <v>44</v>
      </c>
      <c r="D121" s="14">
        <f t="shared" si="4"/>
        <v>385.24068218370689</v>
      </c>
    </row>
    <row r="122" spans="3:4" x14ac:dyDescent="0.25">
      <c r="C122" s="2">
        <v>45</v>
      </c>
      <c r="D122" s="14">
        <f t="shared" si="4"/>
        <v>385.65206624070242</v>
      </c>
    </row>
    <row r="123" spans="3:4" x14ac:dyDescent="0.25">
      <c r="C123" s="2">
        <v>46</v>
      </c>
      <c r="D123" s="14">
        <f t="shared" si="4"/>
        <v>385.99695888574854</v>
      </c>
    </row>
    <row r="124" spans="3:4" x14ac:dyDescent="0.25">
      <c r="C124" s="2">
        <v>47</v>
      </c>
      <c r="D124" s="14">
        <f t="shared" si="4"/>
        <v>386.27569642780293</v>
      </c>
    </row>
    <row r="125" spans="3:4" x14ac:dyDescent="0.25">
      <c r="C125" s="2">
        <v>48</v>
      </c>
      <c r="D125" s="14">
        <f t="shared" si="4"/>
        <v>386.48858214418385</v>
      </c>
    </row>
    <row r="126" spans="3:4" x14ac:dyDescent="0.25">
      <c r="C126" s="2">
        <v>49</v>
      </c>
      <c r="D126" s="14">
        <f t="shared" si="4"/>
        <v>386.63588688725139</v>
      </c>
    </row>
    <row r="127" spans="3:4" x14ac:dyDescent="0.25">
      <c r="C127" s="2">
        <v>50</v>
      </c>
      <c r="D127" s="14">
        <f t="shared" si="4"/>
        <v>386.71784960717497</v>
      </c>
    </row>
    <row r="128" spans="3:4" x14ac:dyDescent="0.25">
      <c r="C128" s="2">
        <v>51</v>
      </c>
      <c r="D128" s="14">
        <f t="shared" si="4"/>
        <v>386.73467779366348</v>
      </c>
    </row>
    <row r="129" spans="3:4" x14ac:dyDescent="0.25">
      <c r="C129" s="2">
        <v>52</v>
      </c>
      <c r="D129" s="14">
        <f t="shared" si="4"/>
        <v>386.686547839046</v>
      </c>
    </row>
    <row r="130" spans="3:4" x14ac:dyDescent="0.25">
      <c r="C130" s="2">
        <v>53</v>
      </c>
      <c r="D130" s="14">
        <f t="shared" si="4"/>
        <v>386.5736053246174</v>
      </c>
    </row>
    <row r="131" spans="3:4" x14ac:dyDescent="0.25">
      <c r="C131" s="2">
        <v>54</v>
      </c>
      <c r="D131" s="14">
        <f t="shared" si="4"/>
        <v>386.39596523172781</v>
      </c>
    </row>
    <row r="132" spans="3:4" x14ac:dyDescent="0.25">
      <c r="C132" s="2">
        <v>55</v>
      </c>
      <c r="D132" s="14">
        <f t="shared" si="4"/>
        <v>386.1537120786503</v>
      </c>
    </row>
    <row r="133" spans="3:4" x14ac:dyDescent="0.25">
      <c r="C133" s="2">
        <v>56</v>
      </c>
      <c r="D133" s="14">
        <f t="shared" si="4"/>
        <v>385.84689998385159</v>
      </c>
    </row>
    <row r="134" spans="3:4" x14ac:dyDescent="0.25">
      <c r="C134" s="2">
        <v>57</v>
      </c>
      <c r="D134" s="14">
        <f t="shared" si="4"/>
        <v>385.47555265586089</v>
      </c>
    </row>
    <row r="135" spans="3:4" x14ac:dyDescent="0.25">
      <c r="C135" s="2">
        <v>58</v>
      </c>
      <c r="D135" s="14">
        <f t="shared" si="4"/>
        <v>385.03966330952755</v>
      </c>
    </row>
    <row r="136" spans="3:4" x14ac:dyDescent="0.25">
      <c r="C136" s="2">
        <v>59</v>
      </c>
      <c r="D136" s="14">
        <f t="shared" si="4"/>
        <v>384.53919450803443</v>
      </c>
    </row>
    <row r="137" spans="3:4" x14ac:dyDescent="0.25">
      <c r="C137" s="2">
        <v>60</v>
      </c>
      <c r="D137" s="14">
        <f t="shared" si="4"/>
        <v>383.97407792960939</v>
      </c>
    </row>
  </sheetData>
  <mergeCells count="2">
    <mergeCell ref="B3:G3"/>
    <mergeCell ref="I11:K11"/>
  </mergeCell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Q75"/>
  <sheetViews>
    <sheetView topLeftCell="A10" zoomScale="90" zoomScaleNormal="90" workbookViewId="0">
      <selection activeCell="C23" sqref="C23:D24"/>
    </sheetView>
  </sheetViews>
  <sheetFormatPr defaultColWidth="9.140625" defaultRowHeight="15.75" x14ac:dyDescent="0.25"/>
  <cols>
    <col min="1" max="1" width="9.140625" style="23"/>
    <col min="2" max="2" width="14.7109375" style="23" customWidth="1"/>
    <col min="3" max="3" width="30.5703125" style="23" customWidth="1"/>
    <col min="4" max="4" width="13.28515625" style="23" bestFit="1" customWidth="1"/>
    <col min="5" max="5" width="14.28515625" style="23" bestFit="1" customWidth="1"/>
    <col min="6" max="7" width="13.28515625" style="23" bestFit="1" customWidth="1"/>
    <col min="8" max="8" width="13.140625" style="23" bestFit="1" customWidth="1"/>
    <col min="9" max="9" width="9" style="23" customWidth="1"/>
    <col min="10" max="10" width="13.28515625" style="23" bestFit="1" customWidth="1"/>
    <col min="11" max="11" width="9.140625" style="23"/>
    <col min="12" max="12" width="11.85546875" style="23" bestFit="1" customWidth="1"/>
    <col min="13" max="16384" width="9.140625" style="23"/>
  </cols>
  <sheetData>
    <row r="2" spans="2:17" ht="15.75" customHeight="1" x14ac:dyDescent="0.25">
      <c r="B2" s="118" t="s">
        <v>238</v>
      </c>
      <c r="C2" s="118"/>
      <c r="D2" s="118"/>
      <c r="M2" s="343" t="s">
        <v>264</v>
      </c>
      <c r="N2" s="344"/>
      <c r="P2" s="343" t="s">
        <v>346</v>
      </c>
      <c r="Q2" s="344"/>
    </row>
    <row r="3" spans="2:17" s="24" customFormat="1" x14ac:dyDescent="0.25">
      <c r="B3" s="229" t="s">
        <v>236</v>
      </c>
      <c r="C3" s="230" t="s">
        <v>237</v>
      </c>
      <c r="D3" s="230" t="s">
        <v>258</v>
      </c>
      <c r="E3" s="230" t="s">
        <v>259</v>
      </c>
      <c r="F3" s="230" t="s">
        <v>260</v>
      </c>
      <c r="G3" s="231" t="s">
        <v>261</v>
      </c>
      <c r="H3" s="230" t="s">
        <v>262</v>
      </c>
      <c r="I3" s="230" t="s">
        <v>263</v>
      </c>
      <c r="J3" s="229" t="s">
        <v>235</v>
      </c>
      <c r="M3" s="345"/>
      <c r="N3" s="346"/>
      <c r="P3" s="345"/>
      <c r="Q3" s="346"/>
    </row>
    <row r="4" spans="2:17" s="24" customFormat="1" ht="51.75" customHeight="1" x14ac:dyDescent="0.25">
      <c r="B4" s="162" t="s">
        <v>66</v>
      </c>
      <c r="C4" s="117">
        <v>0.31818181818181812</v>
      </c>
      <c r="D4" s="117">
        <v>0.40737704918032785</v>
      </c>
      <c r="E4" s="117">
        <v>0.4006578947368421</v>
      </c>
      <c r="F4" s="117">
        <v>0.3794736842105263</v>
      </c>
      <c r="G4" s="117">
        <v>0.36650190114068443</v>
      </c>
      <c r="H4" s="117">
        <v>0.22727272727272729</v>
      </c>
      <c r="I4" s="117">
        <v>0.12924271844660196</v>
      </c>
      <c r="J4" s="117">
        <v>0.118804920913884</v>
      </c>
      <c r="M4" s="347"/>
      <c r="N4" s="348"/>
      <c r="P4" s="347"/>
      <c r="Q4" s="348"/>
    </row>
    <row r="5" spans="2:17" s="24" customFormat="1" x14ac:dyDescent="0.25"/>
    <row r="6" spans="2:17" s="24" customFormat="1" x14ac:dyDescent="0.25"/>
    <row r="7" spans="2:17" s="24" customFormat="1" ht="24" customHeight="1" x14ac:dyDescent="0.25">
      <c r="B7" s="155" t="s">
        <v>67</v>
      </c>
      <c r="C7" s="155" t="s">
        <v>157</v>
      </c>
    </row>
    <row r="8" spans="2:17" s="24" customFormat="1" ht="42.75" customHeight="1" x14ac:dyDescent="0.25">
      <c r="B8" s="133" t="s">
        <v>66</v>
      </c>
      <c r="C8" s="133" t="s">
        <v>249</v>
      </c>
    </row>
    <row r="9" spans="2:17" s="24" customFormat="1" x14ac:dyDescent="0.25"/>
    <row r="10" spans="2:17" s="24" customFormat="1" ht="36.75" customHeight="1" x14ac:dyDescent="0.25">
      <c r="C10" s="29" t="s">
        <v>19</v>
      </c>
      <c r="D10" s="29" t="s">
        <v>66</v>
      </c>
      <c r="E10" s="29" t="s">
        <v>55</v>
      </c>
      <c r="F10" s="29" t="s">
        <v>80</v>
      </c>
    </row>
    <row r="11" spans="2:17" s="24" customFormat="1" ht="15.75" customHeight="1" x14ac:dyDescent="0.25">
      <c r="C11" s="29"/>
      <c r="D11" s="29"/>
      <c r="E11" s="29"/>
      <c r="F11" s="29"/>
    </row>
    <row r="12" spans="2:17" s="24" customFormat="1" ht="15.75" customHeight="1" x14ac:dyDescent="0.25">
      <c r="C12" s="80">
        <v>0.5</v>
      </c>
      <c r="D12" s="80">
        <f>(3.064/C12)*EXP(-0.5*(LN(C12/47.57)/1.94)^2)</f>
        <v>0.38908349058104885</v>
      </c>
      <c r="E12" s="80">
        <v>49.467040112990802</v>
      </c>
      <c r="F12" s="80">
        <f t="shared" ref="F12:F75" si="0">D12*E12</f>
        <v>19.246808635875222</v>
      </c>
    </row>
    <row r="13" spans="2:17" s="24" customFormat="1" x14ac:dyDescent="0.25">
      <c r="C13" s="80">
        <v>1</v>
      </c>
      <c r="D13" s="80">
        <f t="shared" ref="D13:D40" si="1">(3.064/C13)*EXP(-0.5*(LN(C13/47.57)/1.94)^2)</f>
        <v>0.42232813487255788</v>
      </c>
      <c r="E13" s="80">
        <v>61.232944313725149</v>
      </c>
      <c r="F13" s="80">
        <f t="shared" si="0"/>
        <v>25.86039516477074</v>
      </c>
    </row>
    <row r="14" spans="2:17" s="24" customFormat="1" x14ac:dyDescent="0.25">
      <c r="C14" s="80">
        <v>1.5</v>
      </c>
      <c r="D14" s="80">
        <f t="shared" si="1"/>
        <v>0.41761680859787736</v>
      </c>
      <c r="E14" s="80">
        <v>70</v>
      </c>
      <c r="F14" s="80">
        <f t="shared" si="0"/>
        <v>29.233176601851415</v>
      </c>
    </row>
    <row r="15" spans="2:17" s="24" customFormat="1" x14ac:dyDescent="0.25">
      <c r="C15" s="80">
        <v>2</v>
      </c>
      <c r="D15" s="80">
        <f t="shared" si="1"/>
        <v>0.40347453874003048</v>
      </c>
      <c r="E15" s="80">
        <v>79.269769274918261</v>
      </c>
      <c r="F15" s="80">
        <f t="shared" si="0"/>
        <v>31.983333594226284</v>
      </c>
    </row>
    <row r="16" spans="2:17" s="167" customFormat="1" x14ac:dyDescent="0.25">
      <c r="C16" s="80">
        <v>3</v>
      </c>
      <c r="D16" s="80">
        <f t="shared" si="1"/>
        <v>0.37026539934174552</v>
      </c>
      <c r="E16" s="80">
        <v>89.670247635677129</v>
      </c>
      <c r="F16" s="80">
        <f t="shared" si="0"/>
        <v>33.201790049897205</v>
      </c>
    </row>
    <row r="17" spans="3:6" s="24" customFormat="1" x14ac:dyDescent="0.25">
      <c r="C17" s="65">
        <v>4</v>
      </c>
      <c r="D17" s="65">
        <f t="shared" si="1"/>
        <v>0.33926664289660124</v>
      </c>
      <c r="E17" s="65">
        <v>98.271318855589442</v>
      </c>
      <c r="F17" s="65">
        <f t="shared" si="0"/>
        <v>33.340180441157301</v>
      </c>
    </row>
    <row r="18" spans="3:6" s="24" customFormat="1" x14ac:dyDescent="0.25">
      <c r="C18" s="80">
        <v>4.5</v>
      </c>
      <c r="D18" s="80">
        <f t="shared" si="1"/>
        <v>0.32526642076824142</v>
      </c>
      <c r="E18" s="80">
        <v>102.05</v>
      </c>
      <c r="F18" s="80">
        <f t="shared" si="0"/>
        <v>33.193438239399036</v>
      </c>
    </row>
    <row r="19" spans="3:6" s="24" customFormat="1" x14ac:dyDescent="0.25">
      <c r="C19" s="80">
        <v>5</v>
      </c>
      <c r="D19" s="80">
        <f t="shared" si="1"/>
        <v>0.31225623350017867</v>
      </c>
      <c r="E19" s="80">
        <v>106.04282953122835</v>
      </c>
      <c r="F19" s="80">
        <f t="shared" si="0"/>
        <v>33.112534539122883</v>
      </c>
    </row>
    <row r="20" spans="3:6" s="167" customFormat="1" ht="15.75" customHeight="1" x14ac:dyDescent="0.25">
      <c r="C20" s="80">
        <v>6</v>
      </c>
      <c r="D20" s="80">
        <f t="shared" si="1"/>
        <v>0.28893968690553667</v>
      </c>
      <c r="E20" s="80">
        <v>113.6454084449928</v>
      </c>
      <c r="F20" s="80">
        <f t="shared" si="0"/>
        <v>32.836668734348052</v>
      </c>
    </row>
    <row r="21" spans="3:6" s="24" customFormat="1" x14ac:dyDescent="0.25">
      <c r="C21" s="65">
        <v>7</v>
      </c>
      <c r="D21" s="65">
        <f t="shared" si="1"/>
        <v>0.2687313673988338</v>
      </c>
      <c r="E21" s="65">
        <v>121.7095372999007</v>
      </c>
      <c r="F21" s="65">
        <f t="shared" si="0"/>
        <v>32.707170384081685</v>
      </c>
    </row>
    <row r="22" spans="3:6" s="24" customFormat="1" x14ac:dyDescent="0.25">
      <c r="C22" s="65">
        <v>8</v>
      </c>
      <c r="D22" s="65">
        <f t="shared" si="1"/>
        <v>0.25108750273018487</v>
      </c>
      <c r="E22" s="65">
        <v>130.73889853853908</v>
      </c>
      <c r="F22" s="65">
        <f t="shared" si="0"/>
        <v>32.82690354373679</v>
      </c>
    </row>
    <row r="23" spans="3:6" s="24" customFormat="1" x14ac:dyDescent="0.25">
      <c r="C23" s="65">
        <v>9</v>
      </c>
      <c r="D23" s="65">
        <f t="shared" si="1"/>
        <v>0.23556043034208862</v>
      </c>
      <c r="E23" s="65">
        <v>141.10539374322971</v>
      </c>
      <c r="F23" s="65">
        <f t="shared" si="0"/>
        <v>33.238847273745051</v>
      </c>
    </row>
    <row r="24" spans="3:6" s="24" customFormat="1" x14ac:dyDescent="0.25">
      <c r="C24" s="65">
        <v>10</v>
      </c>
      <c r="D24" s="65">
        <f t="shared" si="1"/>
        <v>0.22179257737444322</v>
      </c>
      <c r="E24" s="65">
        <v>153.00935508733028</v>
      </c>
      <c r="F24" s="65">
        <f t="shared" si="0"/>
        <v>33.936339227220358</v>
      </c>
    </row>
    <row r="25" spans="3:6" s="24" customFormat="1" x14ac:dyDescent="0.25">
      <c r="C25" s="80">
        <v>10.3</v>
      </c>
      <c r="D25" s="80">
        <f t="shared" si="1"/>
        <v>0.21796113186601793</v>
      </c>
      <c r="E25" s="80">
        <v>156.53</v>
      </c>
      <c r="F25" s="80">
        <f t="shared" si="0"/>
        <v>34.117455970987784</v>
      </c>
    </row>
    <row r="26" spans="3:6" s="24" customFormat="1" x14ac:dyDescent="0.25">
      <c r="C26" s="65">
        <v>11</v>
      </c>
      <c r="D26" s="65">
        <f t="shared" si="1"/>
        <v>0.20949956621195548</v>
      </c>
      <c r="E26" s="65">
        <v>166.0324252528554</v>
      </c>
      <c r="F26" s="65">
        <f t="shared" si="0"/>
        <v>34.783721067592133</v>
      </c>
    </row>
    <row r="27" spans="3:6" s="167" customFormat="1" x14ac:dyDescent="0.25">
      <c r="C27" s="80">
        <v>12</v>
      </c>
      <c r="D27" s="80">
        <f t="shared" si="1"/>
        <v>0.19845414495841604</v>
      </c>
      <c r="E27" s="80">
        <v>178.32089151867854</v>
      </c>
      <c r="F27" s="80">
        <f t="shared" si="0"/>
        <v>35.388520054561809</v>
      </c>
    </row>
    <row r="28" spans="3:6" s="167" customFormat="1" x14ac:dyDescent="0.25">
      <c r="C28" s="80">
        <v>13</v>
      </c>
      <c r="D28" s="80">
        <f t="shared" si="1"/>
        <v>0.18847322640060493</v>
      </c>
      <c r="E28" s="80">
        <v>187.97029761087566</v>
      </c>
      <c r="F28" s="80">
        <f t="shared" si="0"/>
        <v>35.427368458203659</v>
      </c>
    </row>
    <row r="29" spans="3:6" s="24" customFormat="1" x14ac:dyDescent="0.25">
      <c r="C29" s="65">
        <v>14</v>
      </c>
      <c r="D29" s="65">
        <f t="shared" si="1"/>
        <v>0.17940794001927543</v>
      </c>
      <c r="E29" s="65">
        <v>194.82374212617574</v>
      </c>
      <c r="F29" s="65">
        <f t="shared" si="0"/>
        <v>34.952926241703722</v>
      </c>
    </row>
    <row r="30" spans="3:6" s="24" customFormat="1" x14ac:dyDescent="0.25">
      <c r="C30" s="80">
        <v>15</v>
      </c>
      <c r="D30" s="80">
        <f t="shared" si="1"/>
        <v>0.17113610662297168</v>
      </c>
      <c r="E30" s="80">
        <v>199.48014147468479</v>
      </c>
      <c r="F30" s="80">
        <f t="shared" si="0"/>
        <v>34.138254760577134</v>
      </c>
    </row>
    <row r="31" spans="3:6" s="24" customFormat="1" x14ac:dyDescent="0.25">
      <c r="C31" s="65">
        <v>16</v>
      </c>
      <c r="D31" s="65">
        <f t="shared" si="1"/>
        <v>0.16355655013698442</v>
      </c>
      <c r="E31" s="65">
        <v>202.48979486199141</v>
      </c>
      <c r="F31" s="65">
        <f t="shared" si="0"/>
        <v>33.118532285572989</v>
      </c>
    </row>
    <row r="32" spans="3:6" s="24" customFormat="1" x14ac:dyDescent="0.25">
      <c r="C32" s="65">
        <v>17</v>
      </c>
      <c r="D32" s="65">
        <f t="shared" si="1"/>
        <v>0.1565847758043179</v>
      </c>
      <c r="E32" s="65">
        <v>204.29504205691799</v>
      </c>
      <c r="F32" s="65">
        <f t="shared" si="0"/>
        <v>31.989493358416201</v>
      </c>
    </row>
    <row r="33" spans="3:6" s="24" customFormat="1" x14ac:dyDescent="0.25">
      <c r="C33" s="65">
        <v>18</v>
      </c>
      <c r="D33" s="65">
        <f t="shared" si="1"/>
        <v>0.15014966088149906</v>
      </c>
      <c r="E33" s="65">
        <v>205.25379375185952</v>
      </c>
      <c r="F33" s="65">
        <f t="shared" si="0"/>
        <v>30.818787526482858</v>
      </c>
    </row>
    <row r="34" spans="3:6" s="167" customFormat="1" x14ac:dyDescent="0.25">
      <c r="C34" s="80">
        <v>19</v>
      </c>
      <c r="D34" s="80">
        <f t="shared" si="1"/>
        <v>0.14419089807752153</v>
      </c>
      <c r="E34" s="80">
        <v>205.64335991944739</v>
      </c>
      <c r="F34" s="80">
        <f t="shared" si="0"/>
        <v>29.651900750464115</v>
      </c>
    </row>
    <row r="35" spans="3:6" s="167" customFormat="1" x14ac:dyDescent="0.25">
      <c r="C35" s="80">
        <v>20</v>
      </c>
      <c r="D35" s="80">
        <f t="shared" si="1"/>
        <v>0.13865700235742046</v>
      </c>
      <c r="E35" s="80">
        <v>205.66705134889739</v>
      </c>
      <c r="F35" s="80">
        <f t="shared" si="0"/>
        <v>28.51717682372778</v>
      </c>
    </row>
    <row r="36" spans="3:6" s="24" customFormat="1" x14ac:dyDescent="0.25">
      <c r="C36" s="65">
        <v>21</v>
      </c>
      <c r="D36" s="65">
        <f t="shared" si="1"/>
        <v>0.13350374284126096</v>
      </c>
      <c r="E36" s="65">
        <v>205.46731695982297</v>
      </c>
      <c r="F36" s="65">
        <f t="shared" si="0"/>
        <v>27.430655845688062</v>
      </c>
    </row>
    <row r="37" spans="3:6" s="24" customFormat="1" x14ac:dyDescent="0.25">
      <c r="C37" s="65">
        <v>22</v>
      </c>
      <c r="D37" s="65">
        <f t="shared" si="1"/>
        <v>0.12869289829838287</v>
      </c>
      <c r="E37" s="65">
        <v>205.2787560917794</v>
      </c>
      <c r="F37" s="65">
        <f t="shared" si="0"/>
        <v>26.417918080537909</v>
      </c>
    </row>
    <row r="38" spans="3:6" s="24" customFormat="1" x14ac:dyDescent="0.25">
      <c r="C38" s="65">
        <v>23</v>
      </c>
      <c r="D38" s="65">
        <f t="shared" si="1"/>
        <v>0.12419126117723246</v>
      </c>
      <c r="E38" s="65">
        <v>203.763768244365</v>
      </c>
      <c r="F38" s="65">
        <f t="shared" si="0"/>
        <v>25.305679360492999</v>
      </c>
    </row>
    <row r="39" spans="3:6" s="24" customFormat="1" x14ac:dyDescent="0.25">
      <c r="C39" s="65">
        <v>24</v>
      </c>
      <c r="D39" s="65">
        <f t="shared" si="1"/>
        <v>0.11996983420261943</v>
      </c>
      <c r="E39" s="65">
        <v>204.11788072212718</v>
      </c>
      <c r="F39" s="65">
        <f t="shared" si="0"/>
        <v>24.487988308023649</v>
      </c>
    </row>
    <row r="40" spans="3:6" s="24" customFormat="1" x14ac:dyDescent="0.25">
      <c r="C40" s="103">
        <v>25</v>
      </c>
      <c r="D40" s="80">
        <f t="shared" si="1"/>
        <v>0.11600317744683623</v>
      </c>
      <c r="E40" s="80">
        <v>204.48562525524321</v>
      </c>
      <c r="F40" s="80">
        <f t="shared" si="0"/>
        <v>23.720982271811234</v>
      </c>
    </row>
    <row r="41" spans="3:6" s="24" customFormat="1" x14ac:dyDescent="0.25">
      <c r="C41" s="65">
        <v>26</v>
      </c>
      <c r="D41" s="65">
        <v>0.11600317744683623</v>
      </c>
      <c r="E41" s="65">
        <v>204.86665199547932</v>
      </c>
      <c r="F41" s="65">
        <f t="shared" si="0"/>
        <v>23.765182584370834</v>
      </c>
    </row>
    <row r="42" spans="3:6" s="24" customFormat="1" x14ac:dyDescent="0.25">
      <c r="C42" s="65">
        <v>27</v>
      </c>
      <c r="D42" s="65">
        <v>0.11600317744683623</v>
      </c>
      <c r="E42" s="65">
        <v>205.26042784382304</v>
      </c>
      <c r="F42" s="65">
        <f t="shared" si="0"/>
        <v>23.810861833980528</v>
      </c>
    </row>
    <row r="43" spans="3:6" s="24" customFormat="1" x14ac:dyDescent="0.25">
      <c r="C43" s="65">
        <v>28</v>
      </c>
      <c r="D43" s="65">
        <v>0.11600317744683623</v>
      </c>
      <c r="E43" s="65">
        <v>205.66624766982392</v>
      </c>
      <c r="F43" s="65">
        <f t="shared" si="0"/>
        <v>23.857938223267553</v>
      </c>
    </row>
    <row r="44" spans="3:6" s="24" customFormat="1" x14ac:dyDescent="0.25">
      <c r="C44" s="65">
        <v>29</v>
      </c>
      <c r="D44" s="65">
        <v>0.11600317744683623</v>
      </c>
      <c r="E44" s="65">
        <v>206.08324441209163</v>
      </c>
      <c r="F44" s="65">
        <f t="shared" si="0"/>
        <v>23.906311170355586</v>
      </c>
    </row>
    <row r="45" spans="3:6" s="24" customFormat="1" x14ac:dyDescent="0.25">
      <c r="C45" s="65">
        <v>30</v>
      </c>
      <c r="D45" s="65">
        <v>0.11600317744683623</v>
      </c>
      <c r="E45" s="65">
        <v>206.51039850100676</v>
      </c>
      <c r="F45" s="65">
        <f t="shared" si="0"/>
        <v>23.955862401929149</v>
      </c>
    </row>
    <row r="46" spans="3:6" s="24" customFormat="1" x14ac:dyDescent="0.25">
      <c r="C46" s="65">
        <v>31</v>
      </c>
      <c r="D46" s="65">
        <v>0.11600317744683623</v>
      </c>
      <c r="E46" s="65">
        <v>206.9465467596745</v>
      </c>
      <c r="F46" s="65">
        <f t="shared" si="0"/>
        <v>24.006456985772513</v>
      </c>
    </row>
    <row r="47" spans="3:6" s="24" customFormat="1" x14ac:dyDescent="0.25">
      <c r="C47" s="65">
        <v>32</v>
      </c>
      <c r="D47" s="65">
        <v>0.11600317744683623</v>
      </c>
      <c r="E47" s="65">
        <v>207.39039085574089</v>
      </c>
      <c r="F47" s="65">
        <f t="shared" si="0"/>
        <v>24.057944311207233</v>
      </c>
    </row>
    <row r="48" spans="3:6" s="24" customFormat="1" x14ac:dyDescent="0.25">
      <c r="C48" s="65">
        <v>33</v>
      </c>
      <c r="D48" s="65">
        <v>0.11600317744683623</v>
      </c>
      <c r="E48" s="65">
        <v>207.84050535036229</v>
      </c>
      <c r="F48" s="65">
        <f t="shared" si="0"/>
        <v>24.110159022798193</v>
      </c>
    </row>
    <row r="49" spans="3:6" s="24" customFormat="1" x14ac:dyDescent="0.25">
      <c r="C49" s="65">
        <v>34</v>
      </c>
      <c r="D49" s="65">
        <v>0.11600317744683623</v>
      </c>
      <c r="E49" s="65">
        <v>208.29534538071474</v>
      </c>
      <c r="F49" s="65">
        <f t="shared" si="0"/>
        <v>24.162921911549091</v>
      </c>
    </row>
    <row r="50" spans="3:6" s="24" customFormat="1" x14ac:dyDescent="0.25">
      <c r="C50" s="65">
        <v>35</v>
      </c>
      <c r="D50" s="65">
        <v>0.11600317744683623</v>
      </c>
      <c r="E50" s="65">
        <v>208.75325400740795</v>
      </c>
      <c r="F50" s="65">
        <f t="shared" si="0"/>
        <v>24.21604076722582</v>
      </c>
    </row>
    <row r="51" spans="3:6" s="24" customFormat="1" x14ac:dyDescent="0.25">
      <c r="C51" s="65">
        <v>36</v>
      </c>
      <c r="D51" s="65">
        <v>0.11600317744683623</v>
      </c>
      <c r="E51" s="65">
        <v>209.21246925481626</v>
      </c>
      <c r="F51" s="65">
        <f t="shared" si="0"/>
        <v>24.26931119505722</v>
      </c>
    </row>
    <row r="52" spans="3:6" s="24" customFormat="1" x14ac:dyDescent="0.25">
      <c r="C52" s="65">
        <v>37</v>
      </c>
      <c r="D52" s="65">
        <v>0.11600317744683623</v>
      </c>
      <c r="E52" s="65">
        <v>209.67113086964102</v>
      </c>
      <c r="F52" s="65">
        <f t="shared" si="0"/>
        <v>24.322517399749788</v>
      </c>
    </row>
    <row r="53" spans="3:6" s="24" customFormat="1" x14ac:dyDescent="0.25">
      <c r="C53" s="65">
        <v>38</v>
      </c>
      <c r="D53" s="65">
        <v>0.11600317744683623</v>
      </c>
      <c r="E53" s="65">
        <v>210.12728682073546</v>
      </c>
      <c r="F53" s="65">
        <f t="shared" si="0"/>
        <v>24.375432939488029</v>
      </c>
    </row>
    <row r="54" spans="3:6" s="24" customFormat="1" x14ac:dyDescent="0.25">
      <c r="C54" s="65">
        <v>39</v>
      </c>
      <c r="D54" s="65">
        <v>0.11600317744683623</v>
      </c>
      <c r="E54" s="65">
        <v>210.57889956120306</v>
      </c>
      <c r="F54" s="65">
        <f t="shared" si="0"/>
        <v>24.427821452357744</v>
      </c>
    </row>
    <row r="55" spans="3:6" s="24" customFormat="1" x14ac:dyDescent="0.25">
      <c r="C55" s="65">
        <v>40</v>
      </c>
      <c r="D55" s="65">
        <v>0.11600317744683623</v>
      </c>
      <c r="E55" s="65">
        <v>211.02385207200075</v>
      </c>
      <c r="F55" s="65">
        <f t="shared" si="0"/>
        <v>24.479437357423222</v>
      </c>
    </row>
    <row r="56" spans="3:6" s="24" customFormat="1" x14ac:dyDescent="0.25">
      <c r="C56" s="65">
        <v>41</v>
      </c>
      <c r="D56" s="65">
        <v>0.11600317744683623</v>
      </c>
      <c r="E56" s="65">
        <v>211.45995370469083</v>
      </c>
      <c r="F56" s="65">
        <f t="shared" si="0"/>
        <v>24.530026532505026</v>
      </c>
    </row>
    <row r="57" spans="3:6" s="24" customFormat="1" x14ac:dyDescent="0.25">
      <c r="C57" s="65">
        <v>42</v>
      </c>
      <c r="D57" s="65">
        <v>0.11600317744683623</v>
      </c>
      <c r="E57" s="65">
        <v>211.88494583957177</v>
      </c>
      <c r="F57" s="65">
        <f t="shared" si="0"/>
        <v>24.579326970541128</v>
      </c>
    </row>
    <row r="58" spans="3:6" s="24" customFormat="1" x14ac:dyDescent="0.25">
      <c r="C58" s="65">
        <v>43</v>
      </c>
      <c r="D58" s="65">
        <v>0.11600317744683623</v>
      </c>
      <c r="E58" s="65">
        <v>212.29650737416154</v>
      </c>
      <c r="F58" s="65">
        <f t="shared" si="0"/>
        <v>24.627069416268437</v>
      </c>
    </row>
    <row r="59" spans="3:6" s="24" customFormat="1" x14ac:dyDescent="0.25">
      <c r="C59" s="65">
        <v>44</v>
      </c>
      <c r="D59" s="65">
        <v>0.11600317744683623</v>
      </c>
      <c r="E59" s="65">
        <v>212.69226005587601</v>
      </c>
      <c r="F59" s="65">
        <f t="shared" si="0"/>
        <v>24.672977984830421</v>
      </c>
    </row>
    <row r="60" spans="3:6" s="24" customFormat="1" x14ac:dyDescent="0.25">
      <c r="C60" s="65">
        <v>45</v>
      </c>
      <c r="D60" s="65">
        <v>0.11600317744683623</v>
      </c>
      <c r="E60" s="65">
        <v>213.06977367174778</v>
      </c>
      <c r="F60" s="65">
        <f t="shared" si="0"/>
        <v>24.716770763800994</v>
      </c>
    </row>
    <row r="61" spans="3:6" s="24" customFormat="1" x14ac:dyDescent="0.25">
      <c r="C61" s="65">
        <v>46</v>
      </c>
      <c r="D61" s="65">
        <v>0.11600317744683623</v>
      </c>
      <c r="E61" s="65">
        <v>213.42657110712611</v>
      </c>
      <c r="F61" s="65">
        <f t="shared" si="0"/>
        <v>24.758160400009761</v>
      </c>
    </row>
    <row r="62" spans="3:6" s="24" customFormat="1" x14ac:dyDescent="0.25">
      <c r="C62" s="65">
        <v>47</v>
      </c>
      <c r="D62" s="65">
        <v>0.11600317744683623</v>
      </c>
      <c r="E62" s="65">
        <v>213.76013328450242</v>
      </c>
      <c r="F62" s="65">
        <f t="shared" si="0"/>
        <v>24.7968546724615</v>
      </c>
    </row>
    <row r="63" spans="3:6" s="24" customFormat="1" x14ac:dyDescent="0.25">
      <c r="C63" s="65">
        <v>48</v>
      </c>
      <c r="D63" s="65">
        <v>0.11600317744683623</v>
      </c>
      <c r="E63" s="65">
        <v>214.06790399289005</v>
      </c>
      <c r="F63" s="65">
        <f t="shared" si="0"/>
        <v>24.832557052559526</v>
      </c>
    </row>
    <row r="64" spans="3:6" s="167" customFormat="1" x14ac:dyDescent="0.25">
      <c r="C64" s="80">
        <v>49</v>
      </c>
      <c r="D64" s="80">
        <v>0.11600317744683623</v>
      </c>
      <c r="E64" s="80">
        <v>214.34729461754796</v>
      </c>
      <c r="F64" s="80">
        <f t="shared" si="0"/>
        <v>24.8649672527687</v>
      </c>
    </row>
    <row r="65" spans="3:6" s="167" customFormat="1" x14ac:dyDescent="0.25">
      <c r="C65" s="80">
        <v>50</v>
      </c>
      <c r="D65" s="80">
        <v>0.11600317744683623</v>
      </c>
      <c r="E65" s="80">
        <v>214.59568877927319</v>
      </c>
      <c r="F65" s="80">
        <f t="shared" si="0"/>
        <v>24.89378176478807</v>
      </c>
    </row>
    <row r="66" spans="3:6" s="24" customFormat="1" x14ac:dyDescent="0.25">
      <c r="C66" s="65">
        <v>51</v>
      </c>
      <c r="D66" s="65">
        <v>0.11600317744683623</v>
      </c>
      <c r="E66" s="65">
        <v>214.81044689198521</v>
      </c>
      <c r="F66" s="65">
        <f t="shared" si="0"/>
        <v>24.91869438824515</v>
      </c>
    </row>
    <row r="67" spans="3:6" s="24" customFormat="1" x14ac:dyDescent="0.25">
      <c r="C67" s="65">
        <v>52</v>
      </c>
      <c r="D67" s="65">
        <v>0.11600317744683623</v>
      </c>
      <c r="E67" s="65">
        <v>214.98891064687695</v>
      </c>
      <c r="F67" s="65">
        <f t="shared" si="0"/>
        <v>24.939396750871687</v>
      </c>
    </row>
    <row r="68" spans="3:6" s="24" customFormat="1" x14ac:dyDescent="0.25">
      <c r="C68" s="65">
        <v>53</v>
      </c>
      <c r="D68" s="65">
        <v>0.11600317744683623</v>
      </c>
      <c r="E68" s="65">
        <v>215.12840743102188</v>
      </c>
      <c r="F68" s="65">
        <f t="shared" si="0"/>
        <v>24.955578821076113</v>
      </c>
    </row>
    <row r="69" spans="3:6" s="24" customFormat="1" x14ac:dyDescent="0.25">
      <c r="C69" s="65">
        <v>54</v>
      </c>
      <c r="D69" s="65">
        <v>0.11600317744683623</v>
      </c>
      <c r="E69" s="65">
        <v>215.2262546879802</v>
      </c>
      <c r="F69" s="65">
        <f t="shared" si="0"/>
        <v>24.966929413787735</v>
      </c>
    </row>
    <row r="70" spans="3:6" s="24" customFormat="1" x14ac:dyDescent="0.25">
      <c r="C70" s="65">
        <v>55</v>
      </c>
      <c r="D70" s="65">
        <v>0.11600317744683623</v>
      </c>
      <c r="E70" s="65">
        <v>215.27976422765701</v>
      </c>
      <c r="F70" s="65">
        <f t="shared" si="0"/>
        <v>24.973136690413963</v>
      </c>
    </row>
    <row r="71" spans="3:6" s="24" customFormat="1" x14ac:dyDescent="0.25">
      <c r="C71" s="65">
        <v>56</v>
      </c>
      <c r="D71" s="65">
        <v>0.11600317744683623</v>
      </c>
      <c r="E71" s="65">
        <v>215.28624649240643</v>
      </c>
      <c r="F71" s="65">
        <f t="shared" si="0"/>
        <v>24.97388865372195</v>
      </c>
    </row>
    <row r="72" spans="3:6" s="24" customFormat="1" x14ac:dyDescent="0.25">
      <c r="C72" s="65">
        <v>57</v>
      </c>
      <c r="D72" s="65">
        <v>0.11600317744683623</v>
      </c>
      <c r="E72" s="65">
        <v>215.24301478616854</v>
      </c>
      <c r="F72" s="65">
        <f t="shared" si="0"/>
        <v>24.968873638431905</v>
      </c>
    </row>
    <row r="73" spans="3:6" s="24" customFormat="1" x14ac:dyDescent="0.25">
      <c r="C73" s="80">
        <v>58</v>
      </c>
      <c r="D73" s="80">
        <v>0.11600317744683623</v>
      </c>
      <c r="E73" s="80">
        <v>215.1473894732498</v>
      </c>
      <c r="F73" s="80">
        <f t="shared" si="0"/>
        <v>24.957780798288983</v>
      </c>
    </row>
    <row r="74" spans="3:6" s="24" customFormat="1" x14ac:dyDescent="0.25">
      <c r="C74" s="65">
        <v>59</v>
      </c>
      <c r="D74" s="65">
        <v>0.11600317744683623</v>
      </c>
      <c r="E74" s="65">
        <v>214.99670215321802</v>
      </c>
      <c r="F74" s="65">
        <f t="shared" si="0"/>
        <v>24.940300590364348</v>
      </c>
    </row>
    <row r="75" spans="3:6" s="24" customFormat="1" x14ac:dyDescent="0.25">
      <c r="C75" s="80">
        <v>60</v>
      </c>
      <c r="D75" s="80">
        <v>0.11600317744683623</v>
      </c>
      <c r="E75" s="80">
        <v>214.78829981828434</v>
      </c>
      <c r="F75" s="80">
        <f t="shared" si="0"/>
        <v>24.916125257324701</v>
      </c>
    </row>
  </sheetData>
  <mergeCells count="2">
    <mergeCell ref="M2:N4"/>
    <mergeCell ref="P2:Q4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3:K75"/>
  <sheetViews>
    <sheetView topLeftCell="A7" zoomScale="90" zoomScaleNormal="90" workbookViewId="0">
      <selection activeCell="D22" sqref="D22"/>
    </sheetView>
  </sheetViews>
  <sheetFormatPr defaultColWidth="9.140625" defaultRowHeight="15.75" x14ac:dyDescent="0.25"/>
  <cols>
    <col min="1" max="1" width="9.140625" style="23"/>
    <col min="2" max="2" width="18.28515625" style="24" customWidth="1"/>
    <col min="3" max="3" width="26.140625" style="24" customWidth="1"/>
    <col min="4" max="4" width="16.140625" style="23" customWidth="1"/>
    <col min="5" max="5" width="19.7109375" style="24" customWidth="1"/>
    <col min="6" max="6" width="13.140625" style="24" bestFit="1" customWidth="1"/>
    <col min="7" max="7" width="11.140625" style="24" bestFit="1" customWidth="1"/>
    <col min="8" max="8" width="12.42578125" style="23" bestFit="1" customWidth="1"/>
    <col min="9" max="16384" width="9.140625" style="23"/>
  </cols>
  <sheetData>
    <row r="3" spans="1:11" s="24" customFormat="1" x14ac:dyDescent="0.25">
      <c r="A3" s="23"/>
      <c r="B3" s="41"/>
      <c r="C3" s="41"/>
      <c r="D3" s="69"/>
      <c r="E3" s="69"/>
      <c r="F3" s="69"/>
      <c r="H3" s="23"/>
      <c r="I3" s="23"/>
      <c r="J3" s="23"/>
      <c r="K3" s="23"/>
    </row>
    <row r="4" spans="1:11" s="24" customFormat="1" x14ac:dyDescent="0.25">
      <c r="A4" s="23"/>
      <c r="B4" s="53" t="s">
        <v>100</v>
      </c>
      <c r="C4" s="53" t="s">
        <v>0</v>
      </c>
      <c r="D4" s="53" t="s">
        <v>65</v>
      </c>
      <c r="E4" s="70"/>
      <c r="I4" s="23"/>
      <c r="J4" s="23"/>
      <c r="K4" s="23"/>
    </row>
    <row r="5" spans="1:11" s="24" customFormat="1" ht="63" x14ac:dyDescent="0.25">
      <c r="B5" s="68" t="s">
        <v>104</v>
      </c>
      <c r="C5" s="68" t="s">
        <v>101</v>
      </c>
      <c r="D5" s="68"/>
      <c r="E5" s="71"/>
    </row>
    <row r="6" spans="1:11" s="24" customFormat="1" ht="31.5" x14ac:dyDescent="0.25">
      <c r="B6" s="68" t="s">
        <v>106</v>
      </c>
      <c r="C6" s="68" t="s">
        <v>109</v>
      </c>
      <c r="D6" s="68">
        <v>0.36499999999999999</v>
      </c>
      <c r="E6" s="71"/>
    </row>
    <row r="7" spans="1:11" s="24" customFormat="1" ht="63" x14ac:dyDescent="0.25">
      <c r="B7" s="68" t="s">
        <v>105</v>
      </c>
      <c r="C7" s="68" t="s">
        <v>158</v>
      </c>
      <c r="D7" s="68">
        <v>8.5000000000000006E-2</v>
      </c>
      <c r="E7" s="72"/>
    </row>
    <row r="8" spans="1:11" s="24" customFormat="1" x14ac:dyDescent="0.25">
      <c r="B8" s="68" t="s">
        <v>62</v>
      </c>
      <c r="C8" s="68" t="s">
        <v>159</v>
      </c>
      <c r="D8" s="68"/>
      <c r="E8" s="71"/>
    </row>
    <row r="9" spans="1:11" s="24" customFormat="1" x14ac:dyDescent="0.25">
      <c r="B9" s="39"/>
      <c r="C9" s="39"/>
      <c r="D9" s="39"/>
      <c r="E9" s="39"/>
      <c r="F9" s="39"/>
    </row>
    <row r="10" spans="1:11" s="24" customFormat="1" ht="21.75" customHeight="1" x14ac:dyDescent="0.25">
      <c r="B10" s="13" t="s">
        <v>19</v>
      </c>
      <c r="C10" s="15" t="s">
        <v>64</v>
      </c>
      <c r="D10" s="13" t="s">
        <v>104</v>
      </c>
      <c r="E10" s="13" t="s">
        <v>55</v>
      </c>
      <c r="F10" s="13" t="s">
        <v>63</v>
      </c>
    </row>
    <row r="11" spans="1:11" s="24" customFormat="1" ht="15.75" customHeight="1" x14ac:dyDescent="0.25">
      <c r="B11" s="222">
        <v>0.5</v>
      </c>
      <c r="C11" s="100">
        <v>0.37416998805342133</v>
      </c>
      <c r="D11" s="83">
        <f>(C11/0.365)*0.085</f>
        <v>8.7135476669974843E-2</v>
      </c>
      <c r="E11" s="80">
        <v>49.467040112990802</v>
      </c>
      <c r="F11" s="80">
        <f>D11*E11</f>
        <v>4.3103341196982194</v>
      </c>
    </row>
    <row r="12" spans="1:11" s="24" customFormat="1" ht="15.75" customHeight="1" x14ac:dyDescent="0.25">
      <c r="B12" s="222">
        <v>1</v>
      </c>
      <c r="C12" s="100">
        <v>0.3760349068835791</v>
      </c>
      <c r="D12" s="83">
        <f t="shared" ref="D12:D74" si="0">(C12/0.365)*0.085</f>
        <v>8.7569772835901991E-2</v>
      </c>
      <c r="E12" s="80">
        <v>61.232944313725149</v>
      </c>
      <c r="F12" s="80">
        <f t="shared" ref="F12:F74" si="1">D12*E12</f>
        <v>5.3621550236263475</v>
      </c>
    </row>
    <row r="13" spans="1:11" s="24" customFormat="1" ht="15.75" customHeight="1" x14ac:dyDescent="0.25">
      <c r="B13" s="222">
        <v>1.5</v>
      </c>
      <c r="C13" s="100">
        <v>0.36808000000000002</v>
      </c>
      <c r="D13" s="83">
        <f t="shared" si="0"/>
        <v>8.5717260273972626E-2</v>
      </c>
      <c r="E13" s="80">
        <v>70</v>
      </c>
      <c r="F13" s="80">
        <f t="shared" si="1"/>
        <v>6.0002082191780834</v>
      </c>
    </row>
    <row r="14" spans="1:11" s="24" customFormat="1" x14ac:dyDescent="0.25">
      <c r="B14" s="222">
        <v>2</v>
      </c>
      <c r="C14" s="100">
        <v>0.35861267568925143</v>
      </c>
      <c r="D14" s="83">
        <f t="shared" si="0"/>
        <v>8.3512540913935271E-2</v>
      </c>
      <c r="E14" s="80">
        <v>79.269769274918261</v>
      </c>
      <c r="F14" s="80">
        <f t="shared" si="1"/>
        <v>6.6200198498098199</v>
      </c>
    </row>
    <row r="15" spans="1:11" s="167" customFormat="1" x14ac:dyDescent="0.25">
      <c r="B15" s="222">
        <v>3</v>
      </c>
      <c r="C15" s="100">
        <v>0.34056926987053054</v>
      </c>
      <c r="D15" s="83">
        <f t="shared" si="0"/>
        <v>7.9310651887657804E-2</v>
      </c>
      <c r="E15" s="80">
        <v>89.670247635677129</v>
      </c>
      <c r="F15" s="80">
        <f t="shared" si="1"/>
        <v>7.1118057949132591</v>
      </c>
    </row>
    <row r="16" spans="1:11" s="24" customFormat="1" x14ac:dyDescent="0.25">
      <c r="B16" s="223">
        <v>4</v>
      </c>
      <c r="C16" s="30">
        <v>0.31709648773420901</v>
      </c>
      <c r="D16" s="33">
        <f t="shared" si="0"/>
        <v>7.384438755454184E-2</v>
      </c>
      <c r="E16" s="65">
        <v>98.271318855589442</v>
      </c>
      <c r="F16" s="65">
        <f t="shared" si="1"/>
        <v>7.2567853550681019</v>
      </c>
    </row>
    <row r="17" spans="2:9" s="24" customFormat="1" x14ac:dyDescent="0.25">
      <c r="B17" s="222">
        <v>4.5</v>
      </c>
      <c r="C17" s="100">
        <v>0.30679000000000001</v>
      </c>
      <c r="D17" s="83">
        <f t="shared" si="0"/>
        <v>7.1444246575342471E-2</v>
      </c>
      <c r="E17" s="80">
        <v>102.05</v>
      </c>
      <c r="F17" s="80"/>
    </row>
    <row r="18" spans="2:9" s="24" customFormat="1" x14ac:dyDescent="0.25">
      <c r="B18" s="222">
        <v>5</v>
      </c>
      <c r="C18" s="100">
        <v>0.29863364704358242</v>
      </c>
      <c r="D18" s="83">
        <f t="shared" si="0"/>
        <v>6.9544821914258925E-2</v>
      </c>
      <c r="E18" s="80">
        <v>106.04282953122835</v>
      </c>
      <c r="F18" s="80">
        <f t="shared" si="1"/>
        <v>7.3747296950333929</v>
      </c>
    </row>
    <row r="19" spans="2:9" s="167" customFormat="1" x14ac:dyDescent="0.25">
      <c r="B19" s="222">
        <v>6</v>
      </c>
      <c r="C19" s="100">
        <v>0.28786296677934575</v>
      </c>
      <c r="D19" s="83">
        <f t="shared" si="0"/>
        <v>6.7036581304779158E-2</v>
      </c>
      <c r="E19" s="80">
        <v>113.6454084449928</v>
      </c>
      <c r="F19" s="80">
        <f t="shared" si="1"/>
        <v>7.6183996631375956</v>
      </c>
    </row>
    <row r="20" spans="2:9" s="24" customFormat="1" x14ac:dyDescent="0.25">
      <c r="B20" s="223">
        <v>7</v>
      </c>
      <c r="C20" s="30">
        <v>0.28404954483792627</v>
      </c>
      <c r="D20" s="33">
        <f t="shared" si="0"/>
        <v>6.6148524140338991E-2</v>
      </c>
      <c r="E20" s="65">
        <v>121.7095372999007</v>
      </c>
      <c r="F20" s="65">
        <f t="shared" si="1"/>
        <v>8.050906266191971</v>
      </c>
    </row>
    <row r="21" spans="2:9" s="24" customFormat="1" x14ac:dyDescent="0.25">
      <c r="B21" s="223">
        <v>8</v>
      </c>
      <c r="C21" s="30">
        <v>0.2857713194194495</v>
      </c>
      <c r="D21" s="33">
        <f t="shared" si="0"/>
        <v>6.654948534425538E-2</v>
      </c>
      <c r="E21" s="65">
        <v>130.73889853853908</v>
      </c>
      <c r="F21" s="65">
        <f t="shared" si="1"/>
        <v>8.7006064122145972</v>
      </c>
    </row>
    <row r="22" spans="2:9" s="24" customFormat="1" x14ac:dyDescent="0.25">
      <c r="B22" s="223">
        <v>9</v>
      </c>
      <c r="C22" s="30">
        <v>0.29039309796579638</v>
      </c>
      <c r="D22" s="33">
        <f t="shared" si="0"/>
        <v>6.7625789937240249E-2</v>
      </c>
      <c r="E22" s="65">
        <v>141.10539374322971</v>
      </c>
      <c r="F22" s="65">
        <f t="shared" si="1"/>
        <v>9.5423637162912271</v>
      </c>
    </row>
    <row r="23" spans="2:9" s="24" customFormat="1" x14ac:dyDescent="0.25">
      <c r="B23" s="223">
        <v>10</v>
      </c>
      <c r="C23" s="30">
        <v>0.29382497341223668</v>
      </c>
      <c r="D23" s="33">
        <f t="shared" si="0"/>
        <v>6.8424993808329088E-2</v>
      </c>
      <c r="E23" s="65">
        <v>153.00935508733028</v>
      </c>
      <c r="F23" s="65">
        <f t="shared" si="1"/>
        <v>10.469664174467001</v>
      </c>
    </row>
    <row r="24" spans="2:9" s="24" customFormat="1" ht="23.25" x14ac:dyDescent="0.25">
      <c r="B24" s="222">
        <v>10.3</v>
      </c>
      <c r="C24" s="100">
        <v>0.29409000000000002</v>
      </c>
      <c r="D24" s="83">
        <f t="shared" si="0"/>
        <v>6.848671232876713E-2</v>
      </c>
      <c r="E24" s="80">
        <v>156.53</v>
      </c>
      <c r="F24" s="80">
        <f t="shared" si="1"/>
        <v>10.720225080821919</v>
      </c>
      <c r="I24" s="38"/>
    </row>
    <row r="25" spans="2:9" s="24" customFormat="1" x14ac:dyDescent="0.25">
      <c r="B25" s="223">
        <v>11</v>
      </c>
      <c r="C25" s="30">
        <v>0.29396743210033338</v>
      </c>
      <c r="D25" s="33">
        <f t="shared" si="0"/>
        <v>6.845816911925573E-2</v>
      </c>
      <c r="E25" s="65">
        <v>166.0324252528554</v>
      </c>
      <c r="F25" s="65">
        <f t="shared" si="1"/>
        <v>11.366275847240161</v>
      </c>
    </row>
    <row r="26" spans="2:9" s="24" customFormat="1" ht="23.25" x14ac:dyDescent="0.25">
      <c r="B26" s="222">
        <v>12</v>
      </c>
      <c r="C26" s="100">
        <v>0.29583832558222545</v>
      </c>
      <c r="D26" s="83">
        <f t="shared" si="0"/>
        <v>6.8893856642436066E-2</v>
      </c>
      <c r="E26" s="80">
        <v>178.32089151867854</v>
      </c>
      <c r="F26" s="80">
        <f t="shared" si="1"/>
        <v>12.285213936639233</v>
      </c>
      <c r="I26" s="38"/>
    </row>
    <row r="27" spans="2:9" s="24" customFormat="1" ht="23.25" x14ac:dyDescent="0.25">
      <c r="B27" s="222">
        <v>13</v>
      </c>
      <c r="C27" s="100">
        <v>0.30356018891637143</v>
      </c>
      <c r="D27" s="83">
        <f t="shared" si="0"/>
        <v>7.0692098788744037E-2</v>
      </c>
      <c r="E27" s="80">
        <v>187.97029761087566</v>
      </c>
      <c r="F27" s="80">
        <f t="shared" si="1"/>
        <v>13.288014848057639</v>
      </c>
      <c r="I27" s="38"/>
    </row>
    <row r="28" spans="2:9" s="24" customFormat="1" x14ac:dyDescent="0.25">
      <c r="B28" s="223">
        <v>14</v>
      </c>
      <c r="C28" s="30">
        <v>0.31404775680136848</v>
      </c>
      <c r="D28" s="33">
        <f t="shared" si="0"/>
        <v>7.3134409118126908E-2</v>
      </c>
      <c r="E28" s="65">
        <v>194.82374212617574</v>
      </c>
      <c r="F28" s="65">
        <f t="shared" si="1"/>
        <v>14.248319262580193</v>
      </c>
    </row>
    <row r="29" spans="2:9" s="24" customFormat="1" x14ac:dyDescent="0.25">
      <c r="B29" s="222">
        <v>15</v>
      </c>
      <c r="C29" s="100">
        <v>0.32371492677722258</v>
      </c>
      <c r="D29" s="83">
        <f t="shared" si="0"/>
        <v>7.538566787962718E-2</v>
      </c>
      <c r="E29" s="80">
        <v>199.48014147468479</v>
      </c>
      <c r="F29" s="80">
        <f t="shared" si="1"/>
        <v>15.037943693791631</v>
      </c>
    </row>
    <row r="30" spans="2:9" s="24" customFormat="1" x14ac:dyDescent="0.25">
      <c r="B30" s="223">
        <v>16</v>
      </c>
      <c r="C30" s="30">
        <v>0.33134285252616846</v>
      </c>
      <c r="D30" s="33">
        <f t="shared" si="0"/>
        <v>7.7162034149929656E-2</v>
      </c>
      <c r="E30" s="65">
        <v>202.48979486199141</v>
      </c>
      <c r="F30" s="65">
        <f t="shared" si="1"/>
        <v>15.624524466153233</v>
      </c>
    </row>
    <row r="31" spans="2:9" s="24" customFormat="1" x14ac:dyDescent="0.25">
      <c r="B31" s="223">
        <v>17</v>
      </c>
      <c r="C31" s="30">
        <v>0.33707256574410743</v>
      </c>
      <c r="D31" s="33">
        <f t="shared" si="0"/>
        <v>7.8496350926709965E-2</v>
      </c>
      <c r="E31" s="65">
        <v>204.29504205691799</v>
      </c>
      <c r="F31" s="65">
        <f t="shared" si="1"/>
        <v>16.036415313886806</v>
      </c>
    </row>
    <row r="32" spans="2:9" s="24" customFormat="1" x14ac:dyDescent="0.25">
      <c r="B32" s="223">
        <v>18</v>
      </c>
      <c r="C32" s="30">
        <v>0.34144374760463864</v>
      </c>
      <c r="D32" s="33">
        <f t="shared" si="0"/>
        <v>7.9514297387381611E-2</v>
      </c>
      <c r="E32" s="65">
        <v>205.25379375185952</v>
      </c>
      <c r="F32" s="65">
        <f t="shared" si="1"/>
        <v>16.320611196273646</v>
      </c>
    </row>
    <row r="33" spans="2:6" s="167" customFormat="1" x14ac:dyDescent="0.25">
      <c r="B33" s="222">
        <v>19</v>
      </c>
      <c r="C33" s="100">
        <v>0.34498705103767646</v>
      </c>
      <c r="D33" s="83">
        <f t="shared" si="0"/>
        <v>8.0339450241650692E-2</v>
      </c>
      <c r="E33" s="80">
        <v>205.64335991944739</v>
      </c>
      <c r="F33" s="80">
        <f t="shared" si="1"/>
        <v>16.521274481774309</v>
      </c>
    </row>
    <row r="34" spans="2:6" s="167" customFormat="1" x14ac:dyDescent="0.25">
      <c r="B34" s="222">
        <v>20</v>
      </c>
      <c r="C34" s="100">
        <v>0.34810822222113724</v>
      </c>
      <c r="D34" s="83">
        <f t="shared" si="0"/>
        <v>8.1066298325470326E-2</v>
      </c>
      <c r="E34" s="80">
        <v>205.66705134889739</v>
      </c>
      <c r="F34" s="80">
        <f t="shared" si="1"/>
        <v>16.672666540369541</v>
      </c>
    </row>
    <row r="35" spans="2:6" s="24" customFormat="1" x14ac:dyDescent="0.25">
      <c r="B35" s="223">
        <v>21</v>
      </c>
      <c r="C35" s="30">
        <v>0.35108369345243434</v>
      </c>
      <c r="D35" s="33">
        <f t="shared" si="0"/>
        <v>8.1759216283443625E-2</v>
      </c>
      <c r="E35" s="65">
        <v>205.46731695982297</v>
      </c>
      <c r="F35" s="65">
        <f t="shared" si="1"/>
        <v>16.798846806497032</v>
      </c>
    </row>
    <row r="36" spans="2:6" s="24" customFormat="1" x14ac:dyDescent="0.25">
      <c r="B36" s="223">
        <v>22</v>
      </c>
      <c r="C36" s="30">
        <v>0.35435707818246004</v>
      </c>
      <c r="D36" s="33">
        <f t="shared" si="0"/>
        <v>8.2521511357559196E-2</v>
      </c>
      <c r="E36" s="65">
        <v>205.2787560917794</v>
      </c>
      <c r="F36" s="65">
        <f t="shared" si="1"/>
        <v>16.939913202293397</v>
      </c>
    </row>
    <row r="37" spans="2:6" s="24" customFormat="1" x14ac:dyDescent="0.25">
      <c r="B37" s="223">
        <v>23</v>
      </c>
      <c r="C37" s="30">
        <v>0.35533242368594492</v>
      </c>
      <c r="D37" s="33">
        <f t="shared" si="0"/>
        <v>8.2748646611795401E-2</v>
      </c>
      <c r="E37" s="65">
        <v>203.763768244365</v>
      </c>
      <c r="F37" s="65">
        <f t="shared" si="1"/>
        <v>16.861176050740738</v>
      </c>
    </row>
    <row r="38" spans="2:6" s="24" customFormat="1" x14ac:dyDescent="0.25">
      <c r="B38" s="223">
        <v>24</v>
      </c>
      <c r="C38" s="30">
        <v>0.3601286442416704</v>
      </c>
      <c r="D38" s="33">
        <f t="shared" si="0"/>
        <v>8.3865574686416408E-2</v>
      </c>
      <c r="E38" s="65">
        <v>204.11788072212718</v>
      </c>
      <c r="F38" s="65">
        <f t="shared" si="1"/>
        <v>17.118463370534592</v>
      </c>
    </row>
    <row r="39" spans="2:6" s="24" customFormat="1" x14ac:dyDescent="0.25">
      <c r="B39" s="233">
        <v>25</v>
      </c>
      <c r="C39" s="104">
        <v>0.36512430989915534</v>
      </c>
      <c r="D39" s="83">
        <f t="shared" si="0"/>
        <v>8.5028948880625232E-2</v>
      </c>
      <c r="E39" s="80">
        <v>204.48562525524321</v>
      </c>
      <c r="F39" s="80">
        <f t="shared" si="1"/>
        <v>17.387197776650762</v>
      </c>
    </row>
    <row r="40" spans="2:6" s="24" customFormat="1" x14ac:dyDescent="0.25">
      <c r="B40" s="223">
        <v>26</v>
      </c>
      <c r="C40" s="30">
        <v>0.36788066056666785</v>
      </c>
      <c r="D40" s="33">
        <f t="shared" si="0"/>
        <v>8.5670838762100743E-2</v>
      </c>
      <c r="E40" s="65">
        <v>204.86665199547932</v>
      </c>
      <c r="F40" s="65">
        <f t="shared" si="1"/>
        <v>17.551097910836113</v>
      </c>
    </row>
    <row r="41" spans="2:6" s="24" customFormat="1" x14ac:dyDescent="0.25">
      <c r="B41" s="223">
        <v>27</v>
      </c>
      <c r="C41" s="30">
        <v>0.37052529235292048</v>
      </c>
      <c r="D41" s="33">
        <f t="shared" si="0"/>
        <v>8.6286711917803391E-2</v>
      </c>
      <c r="E41" s="65">
        <v>205.26042784382304</v>
      </c>
      <c r="F41" s="65">
        <f t="shared" si="1"/>
        <v>17.711247405485029</v>
      </c>
    </row>
    <row r="42" spans="2:6" s="24" customFormat="1" x14ac:dyDescent="0.25">
      <c r="B42" s="223">
        <v>28</v>
      </c>
      <c r="C42" s="30">
        <v>0.37306074583241988</v>
      </c>
      <c r="D42" s="33">
        <f t="shared" si="0"/>
        <v>8.6877159988371755E-2</v>
      </c>
      <c r="E42" s="65">
        <v>205.66624766982392</v>
      </c>
      <c r="F42" s="65">
        <f t="shared" si="1"/>
        <v>17.867699503019381</v>
      </c>
    </row>
    <row r="43" spans="2:6" s="24" customFormat="1" x14ac:dyDescent="0.25">
      <c r="B43" s="223">
        <v>29</v>
      </c>
      <c r="C43" s="30">
        <v>0.37548945253345745</v>
      </c>
      <c r="D43" s="33">
        <f t="shared" si="0"/>
        <v>8.7442749220120242E-2</v>
      </c>
      <c r="E43" s="65">
        <v>206.08324441209163</v>
      </c>
      <c r="F43" s="65">
        <f t="shared" si="1"/>
        <v>18.020485459595275</v>
      </c>
    </row>
    <row r="44" spans="2:6" s="24" customFormat="1" x14ac:dyDescent="0.25">
      <c r="B44" s="223">
        <v>30</v>
      </c>
      <c r="C44" s="30">
        <v>0.37781373543165941</v>
      </c>
      <c r="D44" s="33">
        <f t="shared" si="0"/>
        <v>8.798402057997548E-2</v>
      </c>
      <c r="E44" s="65">
        <v>206.51039850100676</v>
      </c>
      <c r="F44" s="65">
        <f t="shared" si="1"/>
        <v>18.169615151691517</v>
      </c>
    </row>
    <row r="45" spans="2:6" s="24" customFormat="1" x14ac:dyDescent="0.25">
      <c r="B45" s="223">
        <v>31</v>
      </c>
      <c r="C45" s="30">
        <v>0.38003580968472972</v>
      </c>
      <c r="D45" s="33">
        <f t="shared" si="0"/>
        <v>8.8501489926580898E-2</v>
      </c>
      <c r="E45" s="65">
        <v>206.9465467596745</v>
      </c>
      <c r="F45" s="65">
        <f t="shared" si="1"/>
        <v>18.315077723392037</v>
      </c>
    </row>
    <row r="46" spans="2:6" s="24" customFormat="1" x14ac:dyDescent="0.25">
      <c r="B46" s="223">
        <v>32</v>
      </c>
      <c r="C46" s="30">
        <v>0.38215778343352097</v>
      </c>
      <c r="D46" s="33">
        <f t="shared" si="0"/>
        <v>8.8995648196847355E-2</v>
      </c>
      <c r="E46" s="65">
        <v>207.39039085574089</v>
      </c>
      <c r="F46" s="65">
        <f t="shared" si="1"/>
        <v>18.456842264004184</v>
      </c>
    </row>
    <row r="47" spans="2:6" s="24" customFormat="1" x14ac:dyDescent="0.25">
      <c r="B47" s="223">
        <v>33</v>
      </c>
      <c r="C47" s="30">
        <v>0.38418165862028519</v>
      </c>
      <c r="D47" s="33">
        <f t="shared" si="0"/>
        <v>8.9466961596504774E-2</v>
      </c>
      <c r="E47" s="65">
        <v>207.84050535036229</v>
      </c>
      <c r="F47" s="65">
        <f t="shared" si="1"/>
        <v>18.594858510379009</v>
      </c>
    </row>
    <row r="48" spans="2:6" s="24" customFormat="1" x14ac:dyDescent="0.25">
      <c r="B48" s="223">
        <v>34</v>
      </c>
      <c r="C48" s="30">
        <v>0.38610933181028234</v>
      </c>
      <c r="D48" s="33">
        <f t="shared" si="0"/>
        <v>8.991587179143562E-2</v>
      </c>
      <c r="E48" s="65">
        <v>208.29534538071474</v>
      </c>
      <c r="F48" s="65">
        <f t="shared" si="1"/>
        <v>18.729057570005146</v>
      </c>
    </row>
    <row r="49" spans="2:6" s="24" customFormat="1" x14ac:dyDescent="0.25">
      <c r="B49" s="223">
        <v>35</v>
      </c>
      <c r="C49" s="30">
        <v>0.38794259501286893</v>
      </c>
      <c r="D49" s="33">
        <f t="shared" si="0"/>
        <v>9.034279609888729E-2</v>
      </c>
      <c r="E49" s="65">
        <v>208.75325400740795</v>
      </c>
      <c r="F49" s="65">
        <f t="shared" si="1"/>
        <v>18.859352661770483</v>
      </c>
    </row>
    <row r="50" spans="2:6" s="24" customFormat="1" x14ac:dyDescent="0.25">
      <c r="B50" s="223">
        <v>36</v>
      </c>
      <c r="C50" s="30">
        <v>0.38968313650097564</v>
      </c>
      <c r="D50" s="33">
        <f t="shared" si="0"/>
        <v>9.0748127678309407E-2</v>
      </c>
      <c r="E50" s="65">
        <v>209.21246925481626</v>
      </c>
      <c r="F50" s="65">
        <f t="shared" si="1"/>
        <v>18.985639871830447</v>
      </c>
    </row>
    <row r="51" spans="2:6" s="24" customFormat="1" x14ac:dyDescent="0.25">
      <c r="B51" s="223">
        <v>37</v>
      </c>
      <c r="C51" s="30">
        <v>0.39133254162866593</v>
      </c>
      <c r="D51" s="33">
        <f t="shared" si="0"/>
        <v>9.1132235721744129E-2</v>
      </c>
      <c r="E51" s="65">
        <v>209.67113086964102</v>
      </c>
      <c r="F51" s="65">
        <f t="shared" si="1"/>
        <v>19.107798922456787</v>
      </c>
    </row>
    <row r="52" spans="2:6" s="24" customFormat="1" x14ac:dyDescent="0.25">
      <c r="B52" s="223">
        <v>38</v>
      </c>
      <c r="C52" s="30">
        <v>0.39289229364669348</v>
      </c>
      <c r="D52" s="33">
        <f t="shared" si="0"/>
        <v>9.1495465643750551E-2</v>
      </c>
      <c r="E52" s="65">
        <v>210.12728682073546</v>
      </c>
      <c r="F52" s="65">
        <f t="shared" si="1"/>
        <v>19.225693952121119</v>
      </c>
    </row>
    <row r="53" spans="2:6" s="24" customFormat="1" x14ac:dyDescent="0.25">
      <c r="B53" s="223">
        <v>39</v>
      </c>
      <c r="C53" s="30">
        <v>0.39436377451602717</v>
      </c>
      <c r="D53" s="33">
        <f t="shared" si="0"/>
        <v>9.1838139270855643E-2</v>
      </c>
      <c r="E53" s="65">
        <v>210.57889956120306</v>
      </c>
      <c r="F53" s="65">
        <f t="shared" si="1"/>
        <v>19.33917430540529</v>
      </c>
    </row>
    <row r="54" spans="2:6" s="24" customFormat="1" x14ac:dyDescent="0.25">
      <c r="B54" s="223">
        <v>40</v>
      </c>
      <c r="C54" s="30">
        <v>0.3957482657193469</v>
      </c>
      <c r="D54" s="33">
        <f t="shared" si="0"/>
        <v>9.2160555030532859E-2</v>
      </c>
      <c r="E54" s="65">
        <v>211.02385207200075</v>
      </c>
      <c r="F54" s="65">
        <f t="shared" si="1"/>
        <v>19.448075331636652</v>
      </c>
    </row>
    <row r="55" spans="2:6" s="24" customFormat="1" x14ac:dyDescent="0.25">
      <c r="B55" s="223">
        <v>41</v>
      </c>
      <c r="C55" s="30">
        <v>0.39704694907049731</v>
      </c>
      <c r="D55" s="33">
        <f t="shared" si="0"/>
        <v>9.2462988139704869E-2</v>
      </c>
      <c r="E55" s="65">
        <v>211.45995370469083</v>
      </c>
      <c r="F55" s="65">
        <f t="shared" si="1"/>
        <v>19.552219191419368</v>
      </c>
    </row>
    <row r="56" spans="2:6" s="24" customFormat="1" x14ac:dyDescent="0.25">
      <c r="B56" s="223">
        <v>42</v>
      </c>
      <c r="C56" s="30">
        <v>0.39826090752190879</v>
      </c>
      <c r="D56" s="33">
        <f t="shared" si="0"/>
        <v>9.2745690792773283E-2</v>
      </c>
      <c r="E56" s="65">
        <v>211.88494583957177</v>
      </c>
      <c r="F56" s="65">
        <f t="shared" si="1"/>
        <v>19.651415670480436</v>
      </c>
    </row>
    <row r="57" spans="2:6" s="24" customFormat="1" x14ac:dyDescent="0.25">
      <c r="B57" s="223">
        <v>43</v>
      </c>
      <c r="C57" s="30">
        <v>0.39939112596997856</v>
      </c>
      <c r="D57" s="33">
        <f t="shared" si="0"/>
        <v>9.3008892349173103E-2</v>
      </c>
      <c r="E57" s="65">
        <v>212.29650737416154</v>
      </c>
      <c r="F57" s="65">
        <f t="shared" si="1"/>
        <v>19.745463000468824</v>
      </c>
    </row>
    <row r="58" spans="2:6" s="24" customFormat="1" x14ac:dyDescent="0.25">
      <c r="B58" s="223">
        <v>44</v>
      </c>
      <c r="C58" s="30">
        <v>0.40043849205841497</v>
      </c>
      <c r="D58" s="33">
        <f t="shared" si="0"/>
        <v>9.3252799520452817E-2</v>
      </c>
      <c r="E58" s="65">
        <v>212.69226005587601</v>
      </c>
      <c r="F58" s="65">
        <f t="shared" si="1"/>
        <v>19.834148686542619</v>
      </c>
    </row>
    <row r="59" spans="2:6" s="24" customFormat="1" x14ac:dyDescent="0.25">
      <c r="B59" s="223">
        <v>45</v>
      </c>
      <c r="C59" s="30">
        <v>0.40140379697954426</v>
      </c>
      <c r="D59" s="33">
        <f t="shared" si="0"/>
        <v>9.3477596556880177E-2</v>
      </c>
      <c r="E59" s="65">
        <v>213.06977367174778</v>
      </c>
      <c r="F59" s="65">
        <f t="shared" si="1"/>
        <v>19.917250341753409</v>
      </c>
    </row>
    <row r="60" spans="2:6" s="24" customFormat="1" x14ac:dyDescent="0.25">
      <c r="B60" s="223">
        <v>46</v>
      </c>
      <c r="C60" s="30">
        <v>0.40228773627358111</v>
      </c>
      <c r="D60" s="33">
        <f t="shared" si="0"/>
        <v>9.3683445433573695E-2</v>
      </c>
      <c r="E60" s="65">
        <v>213.42657110712611</v>
      </c>
      <c r="F60" s="65">
        <f t="shared" si="1"/>
        <v>19.994536528389183</v>
      </c>
    </row>
    <row r="61" spans="2:6" s="24" customFormat="1" x14ac:dyDescent="0.25">
      <c r="B61" s="223">
        <v>47</v>
      </c>
      <c r="C61" s="30">
        <v>0.40309091062585978</v>
      </c>
      <c r="D61" s="33">
        <f t="shared" si="0"/>
        <v>9.3870486036159134E-2</v>
      </c>
      <c r="E61" s="65">
        <v>213.76013328450242</v>
      </c>
      <c r="F61" s="65">
        <f t="shared" si="1"/>
        <v>20.0657676065704</v>
      </c>
    </row>
    <row r="62" spans="2:6" s="24" customFormat="1" x14ac:dyDescent="0.25">
      <c r="B62" s="223">
        <v>48</v>
      </c>
      <c r="C62" s="30">
        <v>0.40381382666203008</v>
      </c>
      <c r="D62" s="33">
        <f t="shared" si="0"/>
        <v>9.4038836345952226E-2</v>
      </c>
      <c r="E62" s="65">
        <v>214.06790399289005</v>
      </c>
      <c r="F62" s="65">
        <f t="shared" si="1"/>
        <v>20.1306965905084</v>
      </c>
    </row>
    <row r="63" spans="2:6" s="167" customFormat="1" x14ac:dyDescent="0.25">
      <c r="B63" s="222">
        <v>49</v>
      </c>
      <c r="C63" s="100">
        <v>0.40445689774121357</v>
      </c>
      <c r="D63" s="83">
        <f t="shared" si="0"/>
        <v>9.4188592624666181E-2</v>
      </c>
      <c r="E63" s="80">
        <v>214.34729461754796</v>
      </c>
      <c r="F63" s="80">
        <f t="shared" si="1"/>
        <v>20.189070012931527</v>
      </c>
    </row>
    <row r="64" spans="2:6" s="167" customFormat="1" x14ac:dyDescent="0.25">
      <c r="B64" s="222">
        <v>50</v>
      </c>
      <c r="C64" s="100">
        <v>0.40502044474712467</v>
      </c>
      <c r="D64" s="83">
        <f t="shared" si="0"/>
        <v>9.4319829598645488E-2</v>
      </c>
      <c r="E64" s="80">
        <v>214.59568877927319</v>
      </c>
      <c r="F64" s="80">
        <f t="shared" si="1"/>
        <v>20.240628798265007</v>
      </c>
    </row>
    <row r="65" spans="2:6" s="24" customFormat="1" x14ac:dyDescent="0.25">
      <c r="B65" s="223">
        <v>51</v>
      </c>
      <c r="C65" s="30">
        <v>0.40550469687715301</v>
      </c>
      <c r="D65" s="33">
        <f t="shared" si="0"/>
        <v>9.4432600642624681E-2</v>
      </c>
      <c r="E65" s="65">
        <v>214.81044689198521</v>
      </c>
      <c r="F65" s="65">
        <f t="shared" si="1"/>
        <v>20.285109145214577</v>
      </c>
    </row>
    <row r="66" spans="2:6" s="24" customFormat="1" x14ac:dyDescent="0.25">
      <c r="B66" s="223">
        <v>52</v>
      </c>
      <c r="C66" s="30">
        <v>0.40590979242940828</v>
      </c>
      <c r="D66" s="33">
        <f t="shared" si="0"/>
        <v>9.4526937963012911E-2</v>
      </c>
      <c r="E66" s="65">
        <v>214.98891064687695</v>
      </c>
      <c r="F66" s="65">
        <f t="shared" si="1"/>
        <v>20.322243419453063</v>
      </c>
    </row>
    <row r="67" spans="2:6" s="24" customFormat="1" x14ac:dyDescent="0.25">
      <c r="B67" s="223">
        <v>53</v>
      </c>
      <c r="C67" s="30">
        <v>0.40623577958772866</v>
      </c>
      <c r="D67" s="33">
        <f t="shared" si="0"/>
        <v>9.4602852780703947E-2</v>
      </c>
      <c r="E67" s="65">
        <v>215.12840743102188</v>
      </c>
      <c r="F67" s="65">
        <f t="shared" si="1"/>
        <v>20.351761057144259</v>
      </c>
    </row>
    <row r="68" spans="2:6" s="24" customFormat="1" x14ac:dyDescent="0.25">
      <c r="B68" s="223">
        <v>54</v>
      </c>
      <c r="C68" s="30">
        <v>0.40648261720465106</v>
      </c>
      <c r="D68" s="33">
        <f t="shared" si="0"/>
        <v>9.4660335513411895E-2</v>
      </c>
      <c r="E68" s="65">
        <v>215.2262546879802</v>
      </c>
      <c r="F68" s="65">
        <f t="shared" si="1"/>
        <v>20.373389480059245</v>
      </c>
    </row>
    <row r="69" spans="2:6" s="24" customFormat="1" x14ac:dyDescent="0.25">
      <c r="B69" s="223">
        <v>55</v>
      </c>
      <c r="C69" s="30">
        <v>0.40665017558234445</v>
      </c>
      <c r="D69" s="33">
        <f t="shared" si="0"/>
        <v>9.4699355957532289E-2</v>
      </c>
      <c r="E69" s="65">
        <v>215.27976422765701</v>
      </c>
      <c r="F69" s="65">
        <f t="shared" si="1"/>
        <v>20.386855023048518</v>
      </c>
    </row>
    <row r="70" spans="2:6" s="24" customFormat="1" x14ac:dyDescent="0.25">
      <c r="B70" s="223">
        <v>56</v>
      </c>
      <c r="C70" s="30">
        <v>0.40673823725150521</v>
      </c>
      <c r="D70" s="33">
        <f t="shared" si="0"/>
        <v>9.4719863469528612E-2</v>
      </c>
      <c r="E70" s="65">
        <v>215.28624649240643</v>
      </c>
      <c r="F70" s="65">
        <f t="shared" si="1"/>
        <v>20.391883874628022</v>
      </c>
    </row>
    <row r="71" spans="2:6" s="24" customFormat="1" x14ac:dyDescent="0.25">
      <c r="B71" s="223">
        <v>57</v>
      </c>
      <c r="C71" s="30">
        <v>0.40674649774821586</v>
      </c>
      <c r="D71" s="33">
        <f t="shared" si="0"/>
        <v>9.4721787146844802E-2</v>
      </c>
      <c r="E71" s="65">
        <v>215.24301478616854</v>
      </c>
      <c r="F71" s="65">
        <f t="shared" si="1"/>
        <v>20.388203031420627</v>
      </c>
    </row>
    <row r="72" spans="2:6" s="24" customFormat="1" x14ac:dyDescent="0.25">
      <c r="B72" s="222">
        <v>58</v>
      </c>
      <c r="C72" s="100">
        <v>0.40667456638876537</v>
      </c>
      <c r="D72" s="83">
        <f t="shared" si="0"/>
        <v>9.4705036008342625E-2</v>
      </c>
      <c r="E72" s="80">
        <v>215.1473894732498</v>
      </c>
      <c r="F72" s="80">
        <f t="shared" si="1"/>
        <v>20.375541267165037</v>
      </c>
    </row>
    <row r="73" spans="2:6" s="24" customFormat="1" x14ac:dyDescent="0.25">
      <c r="B73" s="223">
        <v>59</v>
      </c>
      <c r="C73" s="30">
        <v>0.40652196704243349</v>
      </c>
      <c r="D73" s="33">
        <f t="shared" si="0"/>
        <v>9.4669499174265356E-2</v>
      </c>
      <c r="E73" s="65">
        <v>214.99670215321802</v>
      </c>
      <c r="F73" s="65">
        <f t="shared" si="1"/>
        <v>20.353630116963849</v>
      </c>
    </row>
    <row r="74" spans="2:6" s="24" customFormat="1" x14ac:dyDescent="0.25">
      <c r="B74" s="222">
        <v>60</v>
      </c>
      <c r="C74" s="100">
        <v>0.40628813890223664</v>
      </c>
      <c r="D74" s="83">
        <f t="shared" si="0"/>
        <v>9.4615046045726348E-2</v>
      </c>
      <c r="E74" s="80">
        <v>214.78829981828434</v>
      </c>
      <c r="F74" s="80">
        <f t="shared" si="1"/>
        <v>20.322204877390249</v>
      </c>
    </row>
    <row r="75" spans="2:6" s="24" customFormat="1" x14ac:dyDescent="0.25"/>
  </sheetData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J75"/>
  <sheetViews>
    <sheetView topLeftCell="A32" zoomScale="80" zoomScaleNormal="80" workbookViewId="0">
      <selection activeCell="D10" sqref="D10:D73"/>
    </sheetView>
  </sheetViews>
  <sheetFormatPr defaultColWidth="9.140625" defaultRowHeight="15.75" x14ac:dyDescent="0.25"/>
  <cols>
    <col min="1" max="1" width="9.140625" style="23"/>
    <col min="2" max="2" width="24.7109375" style="24" customWidth="1"/>
    <col min="3" max="3" width="26" style="24" customWidth="1"/>
    <col min="4" max="4" width="16.7109375" style="52" bestFit="1" customWidth="1"/>
    <col min="5" max="5" width="19.7109375" style="24" customWidth="1"/>
    <col min="6" max="6" width="19.42578125" style="24" bestFit="1" customWidth="1"/>
    <col min="7" max="16384" width="9.140625" style="23"/>
  </cols>
  <sheetData>
    <row r="2" spans="1:10" x14ac:dyDescent="0.25">
      <c r="B2" s="41"/>
      <c r="C2" s="41"/>
      <c r="D2" s="41"/>
    </row>
    <row r="3" spans="1:10" s="24" customFormat="1" x14ac:dyDescent="0.25">
      <c r="A3" s="23"/>
      <c r="B3" s="53" t="s">
        <v>100</v>
      </c>
      <c r="C3" s="53" t="s">
        <v>0</v>
      </c>
      <c r="D3" s="53" t="s">
        <v>65</v>
      </c>
      <c r="I3" s="23"/>
      <c r="J3" s="23"/>
    </row>
    <row r="4" spans="1:10" s="24" customFormat="1" ht="63" x14ac:dyDescent="0.25">
      <c r="A4" s="23"/>
      <c r="B4" s="31" t="s">
        <v>134</v>
      </c>
      <c r="C4" s="31" t="s">
        <v>101</v>
      </c>
      <c r="D4" s="31"/>
      <c r="I4" s="23"/>
      <c r="J4" s="23"/>
    </row>
    <row r="5" spans="1:10" s="24" customFormat="1" ht="31.5" x14ac:dyDescent="0.25">
      <c r="B5" s="31" t="s">
        <v>135</v>
      </c>
      <c r="C5" s="31" t="s">
        <v>102</v>
      </c>
      <c r="D5" s="31">
        <v>1.7141643632722806E-2</v>
      </c>
    </row>
    <row r="6" spans="1:10" s="24" customFormat="1" ht="78.75" x14ac:dyDescent="0.25">
      <c r="B6" s="31" t="s">
        <v>130</v>
      </c>
      <c r="C6" s="31" t="s">
        <v>136</v>
      </c>
      <c r="D6" s="31">
        <v>0.17</v>
      </c>
    </row>
    <row r="7" spans="1:10" s="24" customFormat="1" x14ac:dyDescent="0.25">
      <c r="B7" s="31" t="s">
        <v>131</v>
      </c>
      <c r="C7" s="31" t="s">
        <v>132</v>
      </c>
      <c r="D7" s="31"/>
    </row>
    <row r="8" spans="1:10" s="24" customFormat="1" x14ac:dyDescent="0.25">
      <c r="B8" s="39"/>
      <c r="C8" s="39"/>
      <c r="D8" s="51"/>
      <c r="E8" s="39"/>
      <c r="F8" s="39"/>
    </row>
    <row r="9" spans="1:10" s="24" customFormat="1" ht="21.75" customHeight="1" x14ac:dyDescent="0.25">
      <c r="B9" s="42" t="s">
        <v>60</v>
      </c>
      <c r="C9" s="42" t="s">
        <v>133</v>
      </c>
      <c r="D9" s="40" t="s">
        <v>137</v>
      </c>
      <c r="E9" s="29" t="s">
        <v>51</v>
      </c>
      <c r="F9" s="29" t="s">
        <v>138</v>
      </c>
    </row>
    <row r="10" spans="1:10" s="24" customFormat="1" ht="15.75" customHeight="1" x14ac:dyDescent="0.25">
      <c r="B10" s="222">
        <v>0.5</v>
      </c>
      <c r="C10" s="100">
        <v>1.6897410322557625E-2</v>
      </c>
      <c r="D10" s="105">
        <f>(C10/0.017141644)*0.17</f>
        <v>0.16757784462416769</v>
      </c>
      <c r="E10" s="80">
        <v>49.467040112990802</v>
      </c>
      <c r="F10" s="100">
        <f>D10*E10</f>
        <v>8.2895799620722439</v>
      </c>
    </row>
    <row r="11" spans="1:10" s="24" customFormat="1" ht="15.75" customHeight="1" x14ac:dyDescent="0.25">
      <c r="B11" s="222">
        <v>1</v>
      </c>
      <c r="C11" s="100">
        <v>1.6847057514143365E-2</v>
      </c>
      <c r="D11" s="105">
        <f t="shared" ref="D11:D12" si="0">(C11/0.017141644)*0.17</f>
        <v>0.16707847726882977</v>
      </c>
      <c r="E11" s="80">
        <v>61.232944313725149</v>
      </c>
      <c r="F11" s="100">
        <f t="shared" ref="F11:F12" si="1">D11*E11</f>
        <v>10.230707094624247</v>
      </c>
    </row>
    <row r="12" spans="1:10" s="24" customFormat="1" ht="15.75" customHeight="1" x14ac:dyDescent="0.25">
      <c r="B12" s="222">
        <v>1.5</v>
      </c>
      <c r="C12" s="100">
        <v>1.7061706194690267E-2</v>
      </c>
      <c r="D12" s="105">
        <f t="shared" si="0"/>
        <v>0.16920722732879911</v>
      </c>
      <c r="E12" s="80">
        <v>69.997200000000007</v>
      </c>
      <c r="F12" s="100">
        <f t="shared" si="1"/>
        <v>11.844032132779418</v>
      </c>
    </row>
    <row r="13" spans="1:10" s="24" customFormat="1" x14ac:dyDescent="0.25">
      <c r="B13" s="223">
        <v>2</v>
      </c>
      <c r="C13" s="30">
        <v>1.7317457756390212E-2</v>
      </c>
      <c r="D13" s="73">
        <f t="shared" ref="D13:D73" si="2">(C13/0.017141644)*0.17</f>
        <v>0.17174360980699027</v>
      </c>
      <c r="E13" s="65">
        <v>79.269769274918261</v>
      </c>
      <c r="F13" s="30">
        <f t="shared" ref="F13:F73" si="3">D13*E13</f>
        <v>13.614076323841708</v>
      </c>
    </row>
    <row r="14" spans="1:10" s="24" customFormat="1" x14ac:dyDescent="0.25">
      <c r="B14" s="223">
        <v>3</v>
      </c>
      <c r="C14" s="30">
        <v>1.7804629713495675E-2</v>
      </c>
      <c r="D14" s="73">
        <f t="shared" si="2"/>
        <v>0.17657507362154204</v>
      </c>
      <c r="E14" s="65">
        <v>89.670247635677129</v>
      </c>
      <c r="F14" s="30">
        <f t="shared" si="3"/>
        <v>15.833530577931596</v>
      </c>
    </row>
    <row r="15" spans="1:10" s="24" customFormat="1" x14ac:dyDescent="0.25">
      <c r="B15" s="223">
        <v>4</v>
      </c>
      <c r="C15" s="30">
        <v>1.8438394831176361E-2</v>
      </c>
      <c r="D15" s="73">
        <f t="shared" si="2"/>
        <v>0.18286035582701293</v>
      </c>
      <c r="E15" s="65">
        <v>98.271318855589442</v>
      </c>
      <c r="F15" s="30">
        <f t="shared" si="3"/>
        <v>17.96992833352293</v>
      </c>
    </row>
    <row r="16" spans="1:10" s="24" customFormat="1" x14ac:dyDescent="0.25">
      <c r="B16" s="223">
        <v>4.5</v>
      </c>
      <c r="C16" s="30">
        <v>1.8716796038543895E-2</v>
      </c>
      <c r="D16" s="73">
        <f t="shared" si="2"/>
        <v>0.18562136318736186</v>
      </c>
      <c r="E16" s="65">
        <v>102.04824000000001</v>
      </c>
      <c r="F16" s="30">
        <f t="shared" si="3"/>
        <v>18.942333419671069</v>
      </c>
    </row>
    <row r="17" spans="2:10" s="24" customFormat="1" x14ac:dyDescent="0.25">
      <c r="B17" s="222">
        <v>5</v>
      </c>
      <c r="C17" s="100">
        <v>1.8936891529823273E-2</v>
      </c>
      <c r="D17" s="105">
        <f t="shared" si="2"/>
        <v>0.18780413127643744</v>
      </c>
      <c r="E17" s="80">
        <v>106.04282953122835</v>
      </c>
      <c r="F17" s="100">
        <f t="shared" si="3"/>
        <v>19.915281478207685</v>
      </c>
    </row>
    <row r="18" spans="2:10" s="24" customFormat="1" x14ac:dyDescent="0.25">
      <c r="B18" s="223">
        <v>6</v>
      </c>
      <c r="C18" s="30">
        <v>1.9227699896957665E-2</v>
      </c>
      <c r="D18" s="73">
        <f t="shared" si="2"/>
        <v>0.1906881850120562</v>
      </c>
      <c r="E18" s="65">
        <v>113.6454084449928</v>
      </c>
      <c r="F18" s="30">
        <f t="shared" si="3"/>
        <v>21.670836671329479</v>
      </c>
    </row>
    <row r="19" spans="2:10" s="24" customFormat="1" x14ac:dyDescent="0.25">
      <c r="B19" s="223">
        <v>7</v>
      </c>
      <c r="C19" s="30">
        <v>1.933066228937599E-2</v>
      </c>
      <c r="D19" s="73">
        <f t="shared" si="2"/>
        <v>0.19170930099784586</v>
      </c>
      <c r="E19" s="65">
        <v>121.7095372999007</v>
      </c>
      <c r="F19" s="30">
        <f t="shared" si="3"/>
        <v>23.332850320535211</v>
      </c>
    </row>
    <row r="20" spans="2:10" s="24" customFormat="1" x14ac:dyDescent="0.25">
      <c r="B20" s="223">
        <v>8</v>
      </c>
      <c r="C20" s="30">
        <v>1.9284174375674864E-2</v>
      </c>
      <c r="D20" s="73">
        <f t="shared" si="2"/>
        <v>0.1912482632275368</v>
      </c>
      <c r="E20" s="65">
        <v>130.73889853853908</v>
      </c>
      <c r="F20" s="30">
        <f t="shared" si="3"/>
        <v>25.003587281776745</v>
      </c>
    </row>
    <row r="21" spans="2:10" s="24" customFormat="1" ht="23.25" x14ac:dyDescent="0.25">
      <c r="B21" s="223">
        <v>9</v>
      </c>
      <c r="C21" s="30">
        <v>1.9159386354923497E-2</v>
      </c>
      <c r="D21" s="73">
        <f t="shared" si="2"/>
        <v>0.19001069444313479</v>
      </c>
      <c r="E21" s="65">
        <v>141.10539374322971</v>
      </c>
      <c r="F21" s="30">
        <f t="shared" si="3"/>
        <v>26.811533854823043</v>
      </c>
      <c r="J21" s="38"/>
    </row>
    <row r="22" spans="2:10" s="24" customFormat="1" ht="23.25" x14ac:dyDescent="0.25">
      <c r="B22" s="222">
        <v>10</v>
      </c>
      <c r="C22" s="100">
        <v>1.9068888760991425E-2</v>
      </c>
      <c r="D22" s="105">
        <f t="shared" si="2"/>
        <v>0.18911319645703425</v>
      </c>
      <c r="E22" s="80">
        <v>153.00935508733028</v>
      </c>
      <c r="F22" s="100">
        <f t="shared" si="3"/>
        <v>28.936088228394404</v>
      </c>
      <c r="J22" s="38"/>
    </row>
    <row r="23" spans="2:10" s="24" customFormat="1" ht="23.25" x14ac:dyDescent="0.25">
      <c r="B23" s="222">
        <v>10.3</v>
      </c>
      <c r="C23" s="100">
        <v>1.9059706118087095E-2</v>
      </c>
      <c r="D23" s="105"/>
      <c r="E23" s="80">
        <v>156.52979999999997</v>
      </c>
      <c r="F23" s="100"/>
      <c r="J23" s="38"/>
    </row>
    <row r="24" spans="2:10" s="24" customFormat="1" ht="23.25" x14ac:dyDescent="0.25">
      <c r="B24" s="223">
        <v>11</v>
      </c>
      <c r="C24" s="30">
        <v>1.9062879333290997E-2</v>
      </c>
      <c r="D24" s="73">
        <f t="shared" si="2"/>
        <v>0.18905359874814046</v>
      </c>
      <c r="E24" s="65">
        <v>166.0324252528554</v>
      </c>
      <c r="F24" s="30">
        <f t="shared" si="3"/>
        <v>31.389027502933949</v>
      </c>
      <c r="J24" s="38"/>
    </row>
    <row r="25" spans="2:10" s="24" customFormat="1" ht="23.25" x14ac:dyDescent="0.25">
      <c r="B25" s="223">
        <v>12</v>
      </c>
      <c r="C25" s="30">
        <v>1.9012365209279913E-2</v>
      </c>
      <c r="D25" s="73">
        <f t="shared" si="2"/>
        <v>0.18855263156658633</v>
      </c>
      <c r="E25" s="65">
        <v>178.32089151867854</v>
      </c>
      <c r="F25" s="30">
        <f t="shared" si="3"/>
        <v>33.622873359146602</v>
      </c>
      <c r="J25" s="38"/>
    </row>
    <row r="26" spans="2:10" s="24" customFormat="1" ht="23.25" x14ac:dyDescent="0.25">
      <c r="B26" s="223">
        <v>13</v>
      </c>
      <c r="C26" s="30">
        <v>1.8803874899257972E-2</v>
      </c>
      <c r="D26" s="73">
        <f t="shared" si="2"/>
        <v>0.18648495633638495</v>
      </c>
      <c r="E26" s="65">
        <v>187.97029761087566</v>
      </c>
      <c r="F26" s="30">
        <f t="shared" si="3"/>
        <v>35.053632742501435</v>
      </c>
      <c r="J26" s="38"/>
    </row>
    <row r="27" spans="2:10" s="24" customFormat="1" ht="23.25" x14ac:dyDescent="0.25">
      <c r="B27" s="223">
        <v>14</v>
      </c>
      <c r="C27" s="30">
        <v>1.8520710566363049E-2</v>
      </c>
      <c r="D27" s="73">
        <f t="shared" si="2"/>
        <v>0.1836767113050369</v>
      </c>
      <c r="E27" s="65">
        <v>194.82374212617574</v>
      </c>
      <c r="F27" s="30">
        <f t="shared" si="3"/>
        <v>35.784584237876537</v>
      </c>
      <c r="J27" s="38"/>
    </row>
    <row r="28" spans="2:10" s="24" customFormat="1" x14ac:dyDescent="0.25">
      <c r="B28" s="223">
        <v>15</v>
      </c>
      <c r="C28" s="30">
        <v>1.8259696977014989E-2</v>
      </c>
      <c r="D28" s="73">
        <f t="shared" si="2"/>
        <v>0.18108814335967705</v>
      </c>
      <c r="E28" s="65">
        <v>199.48014147468479</v>
      </c>
      <c r="F28" s="30">
        <f t="shared" si="3"/>
        <v>36.123488456776379</v>
      </c>
    </row>
    <row r="29" spans="2:10" s="24" customFormat="1" x14ac:dyDescent="0.25">
      <c r="B29" s="223">
        <v>16</v>
      </c>
      <c r="C29" s="30">
        <v>1.8053742981793453E-2</v>
      </c>
      <c r="D29" s="73">
        <f t="shared" si="2"/>
        <v>0.17904562169794724</v>
      </c>
      <c r="E29" s="65">
        <v>202.48979486199141</v>
      </c>
      <c r="F29" s="30">
        <f t="shared" si="3"/>
        <v>36.254911208555058</v>
      </c>
    </row>
    <row r="30" spans="2:10" s="24" customFormat="1" x14ac:dyDescent="0.25">
      <c r="B30" s="223">
        <v>17</v>
      </c>
      <c r="C30" s="30">
        <v>1.78990407249091E-2</v>
      </c>
      <c r="D30" s="73">
        <f t="shared" si="2"/>
        <v>0.17751138241084385</v>
      </c>
      <c r="E30" s="65">
        <v>204.29504205691799</v>
      </c>
      <c r="F30" s="30">
        <f t="shared" si="3"/>
        <v>36.264695335204998</v>
      </c>
    </row>
    <row r="31" spans="2:10" s="24" customFormat="1" x14ac:dyDescent="0.25">
      <c r="B31" s="223">
        <v>18</v>
      </c>
      <c r="C31" s="30">
        <v>1.7781018814674757E-2</v>
      </c>
      <c r="D31" s="73">
        <f t="shared" si="2"/>
        <v>0.17634091563765464</v>
      </c>
      <c r="E31" s="65">
        <v>205.25379375185952</v>
      </c>
      <c r="F31" s="30">
        <f t="shared" si="3"/>
        <v>36.194641928305224</v>
      </c>
    </row>
    <row r="32" spans="2:10" s="24" customFormat="1" x14ac:dyDescent="0.25">
      <c r="B32" s="223">
        <v>19</v>
      </c>
      <c r="C32" s="30">
        <v>1.7685349621982736E-2</v>
      </c>
      <c r="D32" s="73">
        <f t="shared" si="2"/>
        <v>0.17539212900099113</v>
      </c>
      <c r="E32" s="65">
        <v>205.64335991944739</v>
      </c>
      <c r="F32" s="30">
        <f t="shared" si="3"/>
        <v>36.068226711188963</v>
      </c>
    </row>
    <row r="33" spans="2:6" s="24" customFormat="1" x14ac:dyDescent="0.25">
      <c r="B33" s="223">
        <v>20</v>
      </c>
      <c r="C33" s="30">
        <v>1.7601078000029292E-2</v>
      </c>
      <c r="D33" s="73">
        <f t="shared" si="2"/>
        <v>0.17455637627318477</v>
      </c>
      <c r="E33" s="65">
        <v>205.66705134889739</v>
      </c>
      <c r="F33" s="30">
        <f t="shared" si="3"/>
        <v>35.900495202254547</v>
      </c>
    </row>
    <row r="34" spans="2:6" s="24" customFormat="1" x14ac:dyDescent="0.25">
      <c r="B34" s="223">
        <v>21</v>
      </c>
      <c r="C34" s="30">
        <v>1.7520740276784273E-2</v>
      </c>
      <c r="D34" s="73">
        <f t="shared" si="2"/>
        <v>0.17375963746845555</v>
      </c>
      <c r="E34" s="65">
        <v>205.46731695982297</v>
      </c>
      <c r="F34" s="30">
        <f t="shared" si="3"/>
        <v>35.70192650655509</v>
      </c>
    </row>
    <row r="35" spans="2:6" s="24" customFormat="1" x14ac:dyDescent="0.25">
      <c r="B35" s="223">
        <v>22</v>
      </c>
      <c r="C35" s="30">
        <v>1.7432358889073581E-2</v>
      </c>
      <c r="D35" s="73">
        <f t="shared" si="2"/>
        <v>0.17288312667924435</v>
      </c>
      <c r="E35" s="65">
        <v>205.2787560917794</v>
      </c>
      <c r="F35" s="30">
        <f t="shared" si="3"/>
        <v>35.489233193972801</v>
      </c>
    </row>
    <row r="36" spans="2:6" s="24" customFormat="1" x14ac:dyDescent="0.25">
      <c r="B36" s="223">
        <v>23</v>
      </c>
      <c r="C36" s="30">
        <v>1.7406024560479488E-2</v>
      </c>
      <c r="D36" s="73">
        <f t="shared" si="2"/>
        <v>0.17262195943875122</v>
      </c>
      <c r="E36" s="65">
        <v>203.763768244365</v>
      </c>
      <c r="F36" s="30">
        <f t="shared" si="3"/>
        <v>35.174100936965878</v>
      </c>
    </row>
    <row r="37" spans="2:6" s="24" customFormat="1" x14ac:dyDescent="0.25">
      <c r="B37" s="223">
        <v>24</v>
      </c>
      <c r="C37" s="30">
        <v>1.7276526605474896E-2</v>
      </c>
      <c r="D37" s="73">
        <f t="shared" si="2"/>
        <v>0.17133768050081616</v>
      </c>
      <c r="E37" s="65">
        <v>204.11788072212718</v>
      </c>
      <c r="F37" s="30">
        <f t="shared" si="3"/>
        <v>34.973084231671528</v>
      </c>
    </row>
    <row r="38" spans="2:6" s="24" customFormat="1" x14ac:dyDescent="0.25">
      <c r="B38" s="233">
        <v>25</v>
      </c>
      <c r="C38" s="102">
        <v>1.7141643632722806E-2</v>
      </c>
      <c r="D38" s="105">
        <f t="shared" si="2"/>
        <v>0.16999999635757673</v>
      </c>
      <c r="E38" s="106">
        <v>204.48562525524321</v>
      </c>
      <c r="F38" s="104">
        <f t="shared" si="3"/>
        <v>34.762555548568145</v>
      </c>
    </row>
    <row r="39" spans="2:6" s="24" customFormat="1" x14ac:dyDescent="0.25">
      <c r="B39" s="223">
        <v>26</v>
      </c>
      <c r="C39" s="30">
        <v>1.7067222164699965E-2</v>
      </c>
      <c r="D39" s="73">
        <f t="shared" si="2"/>
        <v>0.1692619312359418</v>
      </c>
      <c r="E39" s="65">
        <v>204.86665199547932</v>
      </c>
      <c r="F39" s="30">
        <f t="shared" si="3"/>
        <v>34.676125162596442</v>
      </c>
    </row>
    <row r="40" spans="2:6" s="24" customFormat="1" x14ac:dyDescent="0.25">
      <c r="B40" s="223">
        <v>27</v>
      </c>
      <c r="C40" s="30">
        <v>1.6995817106471148E-2</v>
      </c>
      <c r="D40" s="73">
        <f t="shared" si="2"/>
        <v>0.16855378096173829</v>
      </c>
      <c r="E40" s="65">
        <v>205.26042784382304</v>
      </c>
      <c r="F40" s="30">
        <f t="shared" si="3"/>
        <v>34.597421194900434</v>
      </c>
    </row>
    <row r="41" spans="2:6" s="24" customFormat="1" x14ac:dyDescent="0.25">
      <c r="B41" s="223">
        <v>28</v>
      </c>
      <c r="C41" s="30">
        <v>1.6927359862524666E-2</v>
      </c>
      <c r="D41" s="73">
        <f t="shared" si="2"/>
        <v>0.16787486524800033</v>
      </c>
      <c r="E41" s="65">
        <v>205.66624766982392</v>
      </c>
      <c r="F41" s="30">
        <f t="shared" si="3"/>
        <v>34.526193613633552</v>
      </c>
    </row>
    <row r="42" spans="2:6" s="24" customFormat="1" x14ac:dyDescent="0.25">
      <c r="B42" s="223">
        <v>29</v>
      </c>
      <c r="C42" s="30">
        <v>1.686178478159665E-2</v>
      </c>
      <c r="D42" s="73">
        <f t="shared" si="2"/>
        <v>0.16722453300695256</v>
      </c>
      <c r="E42" s="65">
        <v>206.08324441209163</v>
      </c>
      <c r="F42" s="30">
        <f t="shared" si="3"/>
        <v>34.462174307369686</v>
      </c>
    </row>
    <row r="43" spans="2:6" s="24" customFormat="1" x14ac:dyDescent="0.25">
      <c r="B43" s="223">
        <v>30</v>
      </c>
      <c r="C43" s="30">
        <v>1.6799029143345193E-2</v>
      </c>
      <c r="D43" s="73">
        <f t="shared" si="2"/>
        <v>0.16660216221785279</v>
      </c>
      <c r="E43" s="65">
        <v>206.51039850100676</v>
      </c>
      <c r="F43" s="30">
        <f t="shared" si="3"/>
        <v>34.405078910738155</v>
      </c>
    </row>
    <row r="44" spans="2:6" s="24" customFormat="1" x14ac:dyDescent="0.25">
      <c r="B44" s="223">
        <v>31</v>
      </c>
      <c r="C44" s="30">
        <v>1.6739033138512299E-2</v>
      </c>
      <c r="D44" s="73">
        <f t="shared" si="2"/>
        <v>0.16600715973025054</v>
      </c>
      <c r="E44" s="65">
        <v>206.9465467596745</v>
      </c>
      <c r="F44" s="30">
        <f t="shared" si="3"/>
        <v>34.354608443557048</v>
      </c>
    </row>
    <row r="45" spans="2:6" s="24" customFormat="1" x14ac:dyDescent="0.25">
      <c r="B45" s="223">
        <v>32</v>
      </c>
      <c r="C45" s="30">
        <v>1.6681739847294937E-2</v>
      </c>
      <c r="D45" s="73">
        <f t="shared" si="2"/>
        <v>0.16543896104948505</v>
      </c>
      <c r="E45" s="65">
        <v>207.39039085574089</v>
      </c>
      <c r="F45" s="30">
        <f t="shared" si="3"/>
        <v>34.310450794820397</v>
      </c>
    </row>
    <row r="46" spans="2:6" s="24" customFormat="1" x14ac:dyDescent="0.25">
      <c r="B46" s="223">
        <v>33</v>
      </c>
      <c r="C46" s="30">
        <v>1.6627095217252297E-2</v>
      </c>
      <c r="D46" s="73">
        <f t="shared" si="2"/>
        <v>0.16489703011758328</v>
      </c>
      <c r="E46" s="65">
        <v>207.84050535036229</v>
      </c>
      <c r="F46" s="30">
        <f t="shared" si="3"/>
        <v>34.272282070412416</v>
      </c>
    </row>
    <row r="47" spans="2:6" s="24" customFormat="1" x14ac:dyDescent="0.25">
      <c r="B47" s="223">
        <v>34</v>
      </c>
      <c r="C47" s="30">
        <v>1.6575048041122378E-2</v>
      </c>
      <c r="D47" s="73">
        <f t="shared" si="2"/>
        <v>0.16438085909325875</v>
      </c>
      <c r="E47" s="65">
        <v>208.29534538071474</v>
      </c>
      <c r="F47" s="30">
        <f t="shared" si="3"/>
        <v>34.239767818808936</v>
      </c>
    </row>
    <row r="48" spans="2:6" s="24" customFormat="1" x14ac:dyDescent="0.25">
      <c r="B48" s="223">
        <v>35</v>
      </c>
      <c r="C48" s="30">
        <v>1.6525549934652536E-2</v>
      </c>
      <c r="D48" s="73">
        <f t="shared" si="2"/>
        <v>0.16388996813204912</v>
      </c>
      <c r="E48" s="65">
        <v>208.75325400740795</v>
      </c>
      <c r="F48" s="30">
        <f t="shared" si="3"/>
        <v>34.212564146735644</v>
      </c>
    </row>
    <row r="49" spans="2:6" s="24" customFormat="1" x14ac:dyDescent="0.25">
      <c r="B49" s="223">
        <v>36</v>
      </c>
      <c r="C49" s="30">
        <v>1.6478555314473658E-2</v>
      </c>
      <c r="D49" s="73">
        <f t="shared" si="2"/>
        <v>0.1634239051668861</v>
      </c>
      <c r="E49" s="65">
        <v>209.21246925481626</v>
      </c>
      <c r="F49" s="30">
        <f t="shared" si="3"/>
        <v>34.190318735229162</v>
      </c>
    </row>
    <row r="50" spans="2:6" s="24" customFormat="1" x14ac:dyDescent="0.25">
      <c r="B50" s="223">
        <v>37</v>
      </c>
      <c r="C50" s="30">
        <v>1.6434021376026019E-2</v>
      </c>
      <c r="D50" s="73">
        <f t="shared" si="2"/>
        <v>0.16298224568917796</v>
      </c>
      <c r="E50" s="65">
        <v>209.67113086964102</v>
      </c>
      <c r="F50" s="30">
        <f t="shared" si="3"/>
        <v>34.172671765323621</v>
      </c>
    </row>
    <row r="51" spans="2:6" s="24" customFormat="1" x14ac:dyDescent="0.25">
      <c r="B51" s="223">
        <v>38</v>
      </c>
      <c r="C51" s="30">
        <v>1.6391908071539278E-2</v>
      </c>
      <c r="D51" s="73">
        <f t="shared" si="2"/>
        <v>0.16256459253042926</v>
      </c>
      <c r="E51" s="65">
        <v>210.12728682073546</v>
      </c>
      <c r="F51" s="30">
        <f t="shared" si="3"/>
        <v>34.159256761537499</v>
      </c>
    </row>
    <row r="52" spans="2:6" s="24" customFormat="1" x14ac:dyDescent="0.25">
      <c r="B52" s="223">
        <v>39</v>
      </c>
      <c r="C52" s="30">
        <v>1.6352178088067267E-2</v>
      </c>
      <c r="D52" s="73">
        <f t="shared" si="2"/>
        <v>0.16217057564440351</v>
      </c>
      <c r="E52" s="65">
        <v>210.57889956120306</v>
      </c>
      <c r="F52" s="30">
        <f t="shared" si="3"/>
        <v>34.149701360405331</v>
      </c>
    </row>
    <row r="53" spans="2:6" s="24" customFormat="1" x14ac:dyDescent="0.25">
      <c r="B53" s="223">
        <v>40</v>
      </c>
      <c r="C53" s="30">
        <v>1.6314796825577633E-2</v>
      </c>
      <c r="D53" s="73">
        <f t="shared" si="2"/>
        <v>0.16179985188983029</v>
      </c>
      <c r="E53" s="65">
        <v>211.02385207200075</v>
      </c>
      <c r="F53" s="30">
        <f t="shared" si="3"/>
        <v>34.143628010471176</v>
      </c>
    </row>
    <row r="54" spans="2:6" s="24" customFormat="1" x14ac:dyDescent="0.25">
      <c r="B54" s="223">
        <v>41</v>
      </c>
      <c r="C54" s="30">
        <v>1.627973237509657E-2</v>
      </c>
      <c r="D54" s="73">
        <f t="shared" si="2"/>
        <v>0.16145210481365829</v>
      </c>
      <c r="E54" s="65">
        <v>211.45995370469083</v>
      </c>
      <c r="F54" s="30">
        <f t="shared" si="3"/>
        <v>34.140654609421077</v>
      </c>
    </row>
    <row r="55" spans="2:6" s="24" customFormat="1" x14ac:dyDescent="0.25">
      <c r="B55" s="223">
        <v>42</v>
      </c>
      <c r="C55" s="30">
        <v>1.6246955496908463E-2</v>
      </c>
      <c r="D55" s="73">
        <f t="shared" si="2"/>
        <v>0.16112704443485343</v>
      </c>
      <c r="E55" s="65">
        <v>211.88494583957177</v>
      </c>
      <c r="F55" s="30">
        <f t="shared" si="3"/>
        <v>34.140395083369192</v>
      </c>
    </row>
    <row r="56" spans="2:6" s="24" customFormat="1" x14ac:dyDescent="0.25">
      <c r="B56" s="223">
        <v>43</v>
      </c>
      <c r="C56" s="30">
        <v>1.621643959881058E-2</v>
      </c>
      <c r="D56" s="73">
        <f t="shared" si="2"/>
        <v>0.16082440702874232</v>
      </c>
      <c r="E56" s="65">
        <v>212.29650737416154</v>
      </c>
      <c r="F56" s="30">
        <f t="shared" si="3"/>
        <v>34.142459912722551</v>
      </c>
    </row>
    <row r="57" spans="2:6" s="24" customFormat="1" x14ac:dyDescent="0.25">
      <c r="B57" s="223">
        <v>44</v>
      </c>
      <c r="C57" s="30">
        <v>1.6188160714422795E-2</v>
      </c>
      <c r="D57" s="73">
        <f t="shared" si="2"/>
        <v>0.16054395491190199</v>
      </c>
      <c r="E57" s="65">
        <v>212.69226005587601</v>
      </c>
      <c r="F57" s="30">
        <f t="shared" si="3"/>
        <v>34.146456608521092</v>
      </c>
    </row>
    <row r="58" spans="2:6" s="24" customFormat="1" x14ac:dyDescent="0.25">
      <c r="B58" s="223">
        <v>45</v>
      </c>
      <c r="C58" s="30">
        <v>1.6162097481552305E-2</v>
      </c>
      <c r="D58" s="73">
        <f t="shared" si="2"/>
        <v>0.16028547622759473</v>
      </c>
      <c r="E58" s="65">
        <v>213.06977367174778</v>
      </c>
      <c r="F58" s="30">
        <f t="shared" si="3"/>
        <v>34.151990142681917</v>
      </c>
    </row>
    <row r="59" spans="2:6" s="24" customFormat="1" x14ac:dyDescent="0.25">
      <c r="B59" s="223">
        <v>46</v>
      </c>
      <c r="C59" s="30">
        <v>1.613823112061331E-2</v>
      </c>
      <c r="D59" s="73">
        <f t="shared" si="2"/>
        <v>0.16004878473174819</v>
      </c>
      <c r="E59" s="65">
        <v>213.42657110712611</v>
      </c>
      <c r="F59" s="30">
        <f t="shared" si="3"/>
        <v>34.158663335159574</v>
      </c>
    </row>
    <row r="60" spans="2:6" s="24" customFormat="1" x14ac:dyDescent="0.25">
      <c r="B60" s="223">
        <v>47</v>
      </c>
      <c r="C60" s="30">
        <v>1.6116545413101785E-2</v>
      </c>
      <c r="D60" s="73">
        <f t="shared" si="2"/>
        <v>0.15983371957948161</v>
      </c>
      <c r="E60" s="65">
        <v>213.76013328450242</v>
      </c>
      <c r="F60" s="30">
        <f t="shared" si="3"/>
        <v>34.166077200667772</v>
      </c>
    </row>
    <row r="61" spans="2:6" s="24" customFormat="1" x14ac:dyDescent="0.25">
      <c r="B61" s="223">
        <v>48</v>
      </c>
      <c r="C61" s="30">
        <v>1.6097026680125186E-2</v>
      </c>
      <c r="D61" s="73">
        <f t="shared" si="2"/>
        <v>0.1596401451121772</v>
      </c>
      <c r="E61" s="65">
        <v>214.06790399289005</v>
      </c>
      <c r="F61" s="30">
        <f t="shared" si="3"/>
        <v>34.173831257284583</v>
      </c>
    </row>
    <row r="62" spans="2:6" s="24" customFormat="1" x14ac:dyDescent="0.25">
      <c r="B62" s="223">
        <v>49</v>
      </c>
      <c r="C62" s="30">
        <v>1.6079663760987236E-2</v>
      </c>
      <c r="D62" s="73">
        <f t="shared" si="2"/>
        <v>0.15946795064509739</v>
      </c>
      <c r="E62" s="65">
        <v>214.34729461754796</v>
      </c>
      <c r="F62" s="30">
        <f t="shared" si="3"/>
        <v>34.181523798981289</v>
      </c>
    </row>
    <row r="63" spans="2:6" s="24" customFormat="1" x14ac:dyDescent="0.25">
      <c r="B63" s="223">
        <v>50</v>
      </c>
      <c r="C63" s="30">
        <v>1.6064447991827633E-2</v>
      </c>
      <c r="D63" s="73">
        <f t="shared" si="2"/>
        <v>0.1593170502555471</v>
      </c>
      <c r="E63" s="65">
        <v>214.59568877927319</v>
      </c>
      <c r="F63" s="30">
        <f t="shared" si="3"/>
        <v>34.188752133871212</v>
      </c>
    </row>
    <row r="64" spans="2:6" s="24" customFormat="1" x14ac:dyDescent="0.25">
      <c r="B64" s="223">
        <v>51</v>
      </c>
      <c r="C64" s="30">
        <v>1.6051373184316868E-2</v>
      </c>
      <c r="D64" s="73">
        <f t="shared" si="2"/>
        <v>0.15918738257158227</v>
      </c>
      <c r="E64" s="65">
        <v>214.81044689198521</v>
      </c>
      <c r="F64" s="30">
        <f t="shared" si="3"/>
        <v>34.195112789767002</v>
      </c>
    </row>
    <row r="65" spans="2:6" s="24" customFormat="1" x14ac:dyDescent="0.25">
      <c r="B65" s="223">
        <v>52</v>
      </c>
      <c r="C65" s="30">
        <v>1.6040435604405975E-2</v>
      </c>
      <c r="D65" s="73">
        <f t="shared" si="2"/>
        <v>0.1590789105612633</v>
      </c>
      <c r="E65" s="65">
        <v>214.98891064687695</v>
      </c>
      <c r="F65" s="30">
        <f t="shared" si="3"/>
        <v>34.200201688457966</v>
      </c>
    </row>
    <row r="66" spans="2:6" s="24" customFormat="1" x14ac:dyDescent="0.25">
      <c r="B66" s="223">
        <v>53</v>
      </c>
      <c r="C66" s="30">
        <v>1.6031633951131323E-2</v>
      </c>
      <c r="D66" s="73">
        <f t="shared" si="2"/>
        <v>0.15899162132245453</v>
      </c>
      <c r="E66" s="65">
        <v>215.12840743102188</v>
      </c>
      <c r="F66" s="30">
        <f t="shared" si="3"/>
        <v>34.203614289975746</v>
      </c>
    </row>
    <row r="67" spans="2:6" s="24" customFormat="1" x14ac:dyDescent="0.25">
      <c r="B67" s="223">
        <v>54</v>
      </c>
      <c r="C67" s="30">
        <v>1.6024969335474419E-2</v>
      </c>
      <c r="D67" s="73">
        <f t="shared" si="2"/>
        <v>0.15892552587316894</v>
      </c>
      <c r="E67" s="65">
        <v>215.2262546879802</v>
      </c>
      <c r="F67" s="30">
        <f t="shared" si="3"/>
        <v>34.204945707999848</v>
      </c>
    </row>
    <row r="68" spans="2:6" s="24" customFormat="1" x14ac:dyDescent="0.25">
      <c r="B68" s="223">
        <v>55</v>
      </c>
      <c r="C68" s="30">
        <v>1.6020445259276702E-2</v>
      </c>
      <c r="D68" s="73">
        <f t="shared" si="2"/>
        <v>0.15888065894245845</v>
      </c>
      <c r="E68" s="65">
        <v>215.27976422765701</v>
      </c>
      <c r="F68" s="30">
        <f t="shared" si="3"/>
        <v>34.203790797467242</v>
      </c>
    </row>
    <row r="69" spans="2:6" s="24" customFormat="1" x14ac:dyDescent="0.25">
      <c r="B69" s="223">
        <v>56</v>
      </c>
      <c r="C69" s="30">
        <v>1.6018067594209359E-2</v>
      </c>
      <c r="D69" s="73">
        <f t="shared" si="2"/>
        <v>0.15885707876184987</v>
      </c>
      <c r="E69" s="65">
        <v>215.28624649240643</v>
      </c>
      <c r="F69" s="30">
        <f t="shared" si="3"/>
        <v>34.199744215387234</v>
      </c>
    </row>
    <row r="70" spans="2:6" s="24" customFormat="1" x14ac:dyDescent="0.25">
      <c r="B70" s="223">
        <v>57</v>
      </c>
      <c r="C70" s="30">
        <v>1.6017844560798175E-2</v>
      </c>
      <c r="D70" s="73">
        <f t="shared" si="2"/>
        <v>0.1588548668573265</v>
      </c>
      <c r="E70" s="65">
        <v>215.24301478616854</v>
      </c>
      <c r="F70" s="30">
        <f t="shared" si="3"/>
        <v>34.192400455826366</v>
      </c>
    </row>
    <row r="71" spans="2:6" s="24" customFormat="1" x14ac:dyDescent="0.25">
      <c r="B71" s="223">
        <v>58</v>
      </c>
      <c r="C71" s="30">
        <v>1.6019786707503335E-2</v>
      </c>
      <c r="D71" s="73">
        <f t="shared" si="2"/>
        <v>0.15887412784185501</v>
      </c>
      <c r="E71" s="65">
        <v>215.1473894732498</v>
      </c>
      <c r="F71" s="30">
        <f t="shared" si="3"/>
        <v>34.181353860014461</v>
      </c>
    </row>
    <row r="72" spans="2:6" s="24" customFormat="1" x14ac:dyDescent="0.25">
      <c r="B72" s="223">
        <v>59</v>
      </c>
      <c r="C72" s="30">
        <v>1.6023906889854295E-2</v>
      </c>
      <c r="D72" s="73">
        <f t="shared" si="2"/>
        <v>0.15891498920845809</v>
      </c>
      <c r="E72" s="65">
        <v>214.99670215321802</v>
      </c>
      <c r="F72" s="30">
        <f t="shared" si="3"/>
        <v>34.166198602532724</v>
      </c>
    </row>
    <row r="73" spans="2:6" s="24" customFormat="1" x14ac:dyDescent="0.25">
      <c r="B73" s="223">
        <v>60</v>
      </c>
      <c r="C73" s="30">
        <v>1.6030220249639609E-2</v>
      </c>
      <c r="D73" s="73">
        <f t="shared" si="2"/>
        <v>0.1589776011238323</v>
      </c>
      <c r="E73" s="65">
        <v>214.78829981828434</v>
      </c>
      <c r="F73" s="30">
        <f t="shared" si="3"/>
        <v>34.14652865457731</v>
      </c>
    </row>
    <row r="74" spans="2:6" s="24" customFormat="1" x14ac:dyDescent="0.25">
      <c r="D74" s="50"/>
    </row>
    <row r="75" spans="2:6" s="24" customFormat="1" x14ac:dyDescent="0.25">
      <c r="D75" s="50"/>
    </row>
  </sheetData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F73"/>
  <sheetViews>
    <sheetView zoomScale="80" zoomScaleNormal="80" workbookViewId="0">
      <selection activeCell="H29" sqref="H29"/>
    </sheetView>
  </sheetViews>
  <sheetFormatPr defaultRowHeight="15" x14ac:dyDescent="0.25"/>
  <cols>
    <col min="2" max="2" width="16" customWidth="1"/>
    <col min="3" max="3" width="21.5703125" customWidth="1"/>
    <col min="4" max="5" width="11.42578125" customWidth="1"/>
    <col min="6" max="6" width="16.140625" customWidth="1"/>
  </cols>
  <sheetData>
    <row r="2" spans="2:6" ht="15.75" x14ac:dyDescent="0.25">
      <c r="B2" s="41"/>
      <c r="C2" s="41"/>
      <c r="D2" s="41"/>
      <c r="E2" s="24"/>
      <c r="F2" s="24"/>
    </row>
    <row r="3" spans="2:6" ht="15.75" x14ac:dyDescent="0.25">
      <c r="B3" s="58" t="s">
        <v>100</v>
      </c>
      <c r="C3" s="58" t="s">
        <v>0</v>
      </c>
      <c r="D3" s="58" t="s">
        <v>65</v>
      </c>
      <c r="E3" s="24"/>
      <c r="F3" s="24"/>
    </row>
    <row r="4" spans="2:6" ht="63" x14ac:dyDescent="0.25">
      <c r="B4" s="31" t="s">
        <v>190</v>
      </c>
      <c r="C4" s="31" t="s">
        <v>101</v>
      </c>
      <c r="D4" s="31"/>
      <c r="E4" s="24"/>
      <c r="F4" s="24"/>
    </row>
    <row r="5" spans="2:6" ht="31.5" x14ac:dyDescent="0.25">
      <c r="B5" s="31" t="s">
        <v>192</v>
      </c>
      <c r="C5" s="31" t="s">
        <v>102</v>
      </c>
      <c r="D5" s="31">
        <v>4.2000000000000003E-2</v>
      </c>
      <c r="E5" s="24"/>
      <c r="F5" s="24"/>
    </row>
    <row r="6" spans="2:6" ht="15.75" x14ac:dyDescent="0.25">
      <c r="B6" s="31" t="s">
        <v>193</v>
      </c>
      <c r="C6" s="31"/>
      <c r="D6" s="31">
        <v>0.215</v>
      </c>
      <c r="E6" s="24"/>
      <c r="F6" s="24"/>
    </row>
    <row r="7" spans="2:6" ht="15.75" x14ac:dyDescent="0.25">
      <c r="B7" s="31" t="s">
        <v>194</v>
      </c>
      <c r="C7" s="31" t="s">
        <v>195</v>
      </c>
      <c r="D7" s="31"/>
      <c r="E7" s="24"/>
      <c r="F7" s="24"/>
    </row>
    <row r="8" spans="2:6" ht="15.75" x14ac:dyDescent="0.25">
      <c r="B8" s="39"/>
      <c r="C8" s="39"/>
      <c r="D8" s="51"/>
      <c r="E8" s="39"/>
      <c r="F8" s="39"/>
    </row>
    <row r="9" spans="2:6" ht="15.75" x14ac:dyDescent="0.25">
      <c r="B9" s="57" t="s">
        <v>60</v>
      </c>
      <c r="C9" s="57" t="s">
        <v>191</v>
      </c>
      <c r="D9" s="40" t="s">
        <v>196</v>
      </c>
      <c r="E9" s="29" t="s">
        <v>51</v>
      </c>
      <c r="F9" s="29" t="s">
        <v>197</v>
      </c>
    </row>
    <row r="10" spans="2:6" s="79" customFormat="1" ht="15.75" x14ac:dyDescent="0.25">
      <c r="B10" s="156">
        <v>0.5</v>
      </c>
      <c r="C10" s="100">
        <v>4.1635219034781991E-2</v>
      </c>
      <c r="D10" s="105">
        <f>(C10/0.042)*0.215</f>
        <v>0.21313266886852683</v>
      </c>
      <c r="E10" s="80">
        <v>49.467040112990802</v>
      </c>
      <c r="F10" s="100">
        <f>D10*E10</f>
        <v>10.543042280308203</v>
      </c>
    </row>
    <row r="11" spans="2:6" s="79" customFormat="1" ht="15.75" x14ac:dyDescent="0.25">
      <c r="B11" s="157">
        <v>1</v>
      </c>
      <c r="C11" s="100">
        <v>4.1511149714849246E-2</v>
      </c>
      <c r="D11" s="105">
        <f t="shared" ref="D11:D12" si="0">(C11/0.042)*0.215</f>
        <v>0.21249755211172827</v>
      </c>
      <c r="E11" s="80">
        <v>61.232944313725149</v>
      </c>
      <c r="F11" s="100">
        <f>D11*E11</f>
        <v>13.011850775260365</v>
      </c>
    </row>
    <row r="12" spans="2:6" s="79" customFormat="1" ht="15.75" x14ac:dyDescent="0.25">
      <c r="B12" s="157">
        <v>1.5</v>
      </c>
      <c r="C12" s="100">
        <v>5.9702938053097343E-2</v>
      </c>
      <c r="D12" s="105">
        <f t="shared" si="0"/>
        <v>0.30562218289085541</v>
      </c>
      <c r="E12" s="80">
        <v>69.997200000000007</v>
      </c>
      <c r="F12" s="100">
        <f>D12*E12</f>
        <v>21.392697060247787</v>
      </c>
    </row>
    <row r="13" spans="2:6" s="79" customFormat="1" ht="15.75" x14ac:dyDescent="0.25">
      <c r="B13" s="158">
        <v>2</v>
      </c>
      <c r="C13" s="30">
        <v>4.2670215911745482E-2</v>
      </c>
      <c r="D13" s="73">
        <f t="shared" ref="D13:D73" si="1">(C13/0.042)*0.215</f>
        <v>0.21843086716726853</v>
      </c>
      <c r="E13" s="65">
        <v>79.269769274918261</v>
      </c>
      <c r="F13" s="30">
        <f t="shared" ref="F13:F73" si="2">D13*E13</f>
        <v>17.314964442869694</v>
      </c>
    </row>
    <row r="14" spans="2:6" s="79" customFormat="1" ht="15.75" x14ac:dyDescent="0.25">
      <c r="B14" s="158">
        <v>3</v>
      </c>
      <c r="C14" s="30">
        <v>4.3870607614053342E-2</v>
      </c>
      <c r="D14" s="73">
        <f t="shared" si="1"/>
        <v>0.22457572945289209</v>
      </c>
      <c r="E14" s="65">
        <v>89.670247635677129</v>
      </c>
      <c r="F14" s="30">
        <f t="shared" si="2"/>
        <v>20.137761273003662</v>
      </c>
    </row>
    <row r="15" spans="2:6" s="79" customFormat="1" ht="15.75" x14ac:dyDescent="0.25">
      <c r="B15" s="158">
        <v>4</v>
      </c>
      <c r="C15" s="30">
        <v>4.5432204864018548E-2</v>
      </c>
      <c r="D15" s="73">
        <f t="shared" si="1"/>
        <v>0.23256962013723781</v>
      </c>
      <c r="E15" s="65">
        <v>98.271318855589442</v>
      </c>
      <c r="F15" s="30">
        <f t="shared" si="2"/>
        <v>22.854923296629813</v>
      </c>
    </row>
    <row r="16" spans="2:6" s="79" customFormat="1" ht="15.75" x14ac:dyDescent="0.25">
      <c r="B16" s="158">
        <v>4.5</v>
      </c>
      <c r="C16" s="30">
        <v>4.6118218415417557E-2</v>
      </c>
      <c r="D16" s="73">
        <f t="shared" si="1"/>
        <v>0.23608135617416129</v>
      </c>
      <c r="E16" s="65">
        <v>102.04824000000001</v>
      </c>
      <c r="F16" s="30">
        <f t="shared" si="2"/>
        <v>24.091686894386296</v>
      </c>
    </row>
    <row r="17" spans="2:6" s="79" customFormat="1" ht="15.75" x14ac:dyDescent="0.25">
      <c r="B17" s="157">
        <v>5</v>
      </c>
      <c r="C17" s="100">
        <v>4.6660500729484543E-2</v>
      </c>
      <c r="D17" s="105">
        <f t="shared" si="1"/>
        <v>0.23885732516283753</v>
      </c>
      <c r="E17" s="80">
        <v>106.04282953122835</v>
      </c>
      <c r="F17" s="100">
        <f t="shared" si="2"/>
        <v>25.329106614527959</v>
      </c>
    </row>
    <row r="18" spans="2:6" s="79" customFormat="1" ht="15.75" x14ac:dyDescent="0.25">
      <c r="B18" s="158">
        <v>6</v>
      </c>
      <c r="C18" s="30">
        <v>4.7377052546103686E-2</v>
      </c>
      <c r="D18" s="73">
        <f t="shared" si="1"/>
        <v>0.242525388033626</v>
      </c>
      <c r="E18" s="65">
        <v>113.6454084449928</v>
      </c>
      <c r="F18" s="30">
        <f t="shared" si="2"/>
        <v>27.561896781361796</v>
      </c>
    </row>
    <row r="19" spans="2:6" s="79" customFormat="1" ht="15.75" x14ac:dyDescent="0.25">
      <c r="B19" s="158">
        <v>7</v>
      </c>
      <c r="C19" s="30">
        <v>4.7630751881022435E-2</v>
      </c>
      <c r="D19" s="73">
        <f t="shared" si="1"/>
        <v>0.24382408700999578</v>
      </c>
      <c r="E19" s="65">
        <v>121.7095372999007</v>
      </c>
      <c r="F19" s="30">
        <f t="shared" si="2"/>
        <v>29.675716812557315</v>
      </c>
    </row>
    <row r="20" spans="2:6" s="79" customFormat="1" ht="15.75" x14ac:dyDescent="0.25">
      <c r="B20" s="158">
        <v>8</v>
      </c>
      <c r="C20" s="30">
        <v>4.7516205661662855E-2</v>
      </c>
      <c r="D20" s="73">
        <f t="shared" si="1"/>
        <v>0.24323771945851222</v>
      </c>
      <c r="E20" s="65">
        <v>130.73889853853908</v>
      </c>
      <c r="F20" s="30">
        <f t="shared" si="2"/>
        <v>31.80063152503206</v>
      </c>
    </row>
    <row r="21" spans="2:6" s="79" customFormat="1" ht="15.75" x14ac:dyDescent="0.25">
      <c r="B21" s="158">
        <v>9</v>
      </c>
      <c r="C21" s="30">
        <v>4.7208727978531505E-2</v>
      </c>
      <c r="D21" s="73">
        <f t="shared" si="1"/>
        <v>0.24166372655676838</v>
      </c>
      <c r="E21" s="65">
        <v>141.10539374322971</v>
      </c>
      <c r="F21" s="30">
        <f t="shared" si="2"/>
        <v>34.100055289248999</v>
      </c>
    </row>
    <row r="22" spans="2:6" s="79" customFormat="1" ht="15.75" x14ac:dyDescent="0.25">
      <c r="B22" s="157">
        <v>10</v>
      </c>
      <c r="C22" s="100">
        <v>4.6980412168830719E-2</v>
      </c>
      <c r="D22" s="105">
        <f t="shared" si="1"/>
        <v>0.24049496705472864</v>
      </c>
      <c r="E22" s="80">
        <v>153.00935508733028</v>
      </c>
      <c r="F22" s="100">
        <f t="shared" si="2"/>
        <v>36.797979810792775</v>
      </c>
    </row>
    <row r="23" spans="2:6" s="79" customFormat="1" ht="15.75" x14ac:dyDescent="0.25">
      <c r="B23" s="157">
        <v>10.3</v>
      </c>
      <c r="C23" s="100">
        <v>4.6962799893133851E-2</v>
      </c>
      <c r="D23" s="105">
        <f t="shared" si="1"/>
        <v>0.24040480897675659</v>
      </c>
      <c r="E23" s="80">
        <v>156.52979999999997</v>
      </c>
      <c r="F23" s="100">
        <f t="shared" si="2"/>
        <v>37.630516668169903</v>
      </c>
    </row>
    <row r="24" spans="2:6" s="79" customFormat="1" ht="15.75" x14ac:dyDescent="0.25">
      <c r="B24" s="158">
        <v>11</v>
      </c>
      <c r="C24" s="30">
        <v>4.6970934677229015E-2</v>
      </c>
      <c r="D24" s="73">
        <f t="shared" si="1"/>
        <v>0.24044645132391043</v>
      </c>
      <c r="E24" s="65">
        <v>166.0324252528554</v>
      </c>
      <c r="F24" s="30">
        <f t="shared" si="2"/>
        <v>39.921907456751491</v>
      </c>
    </row>
    <row r="25" spans="2:6" s="79" customFormat="1" ht="15.75" x14ac:dyDescent="0.25">
      <c r="B25" s="158">
        <v>12</v>
      </c>
      <c r="C25" s="30">
        <v>4.6846467875665709E-2</v>
      </c>
      <c r="D25" s="73">
        <f t="shared" si="1"/>
        <v>0.2398092998397173</v>
      </c>
      <c r="E25" s="65">
        <v>178.32089151867854</v>
      </c>
      <c r="F25" s="30">
        <f t="shared" si="2"/>
        <v>42.763008141888484</v>
      </c>
    </row>
    <row r="26" spans="2:6" s="79" customFormat="1" ht="15.75" x14ac:dyDescent="0.25">
      <c r="B26" s="158">
        <v>13</v>
      </c>
      <c r="C26" s="30">
        <v>4.6332747751771639E-2</v>
      </c>
      <c r="D26" s="73">
        <f t="shared" si="1"/>
        <v>0.2371795420626405</v>
      </c>
      <c r="E26" s="65">
        <v>187.97029761087566</v>
      </c>
      <c r="F26" s="30">
        <f t="shared" si="2"/>
        <v>44.582709108725737</v>
      </c>
    </row>
    <row r="27" spans="2:6" s="79" customFormat="1" ht="15.75" x14ac:dyDescent="0.25">
      <c r="B27" s="158">
        <v>14</v>
      </c>
      <c r="C27" s="30">
        <v>4.5635030835518557E-2</v>
      </c>
      <c r="D27" s="73">
        <f t="shared" si="1"/>
        <v>0.23360789594372594</v>
      </c>
      <c r="E27" s="65">
        <v>194.82374212617574</v>
      </c>
      <c r="F27" s="30">
        <f t="shared" si="2"/>
        <v>45.512364477978963</v>
      </c>
    </row>
    <row r="28" spans="2:6" s="79" customFormat="1" ht="15.75" x14ac:dyDescent="0.25">
      <c r="B28" s="158">
        <v>15</v>
      </c>
      <c r="C28" s="30">
        <v>4.4991893351364928E-2</v>
      </c>
      <c r="D28" s="73">
        <f t="shared" si="1"/>
        <v>0.23031564453674902</v>
      </c>
      <c r="E28" s="65">
        <v>199.48014147468479</v>
      </c>
      <c r="F28" s="30">
        <f t="shared" si="2"/>
        <v>45.943397356023908</v>
      </c>
    </row>
    <row r="29" spans="2:6" s="79" customFormat="1" ht="15.75" x14ac:dyDescent="0.25">
      <c r="B29" s="158">
        <v>16</v>
      </c>
      <c r="C29" s="30">
        <v>4.4484422707139065E-2</v>
      </c>
      <c r="D29" s="73">
        <f t="shared" si="1"/>
        <v>0.22771787814368805</v>
      </c>
      <c r="E29" s="65">
        <v>202.48979486199141</v>
      </c>
      <c r="F29" s="30">
        <f t="shared" si="2"/>
        <v>46.11054643172335</v>
      </c>
    </row>
    <row r="30" spans="2:6" s="79" customFormat="1" ht="15.75" x14ac:dyDescent="0.25">
      <c r="B30" s="158">
        <v>17</v>
      </c>
      <c r="C30" s="30">
        <v>4.4103236346176015E-2</v>
      </c>
      <c r="D30" s="73">
        <f t="shared" si="1"/>
        <v>0.22576656701018674</v>
      </c>
      <c r="E30" s="65">
        <v>204.29504205691799</v>
      </c>
      <c r="F30" s="30">
        <f t="shared" si="2"/>
        <v>46.122990302392097</v>
      </c>
    </row>
    <row r="31" spans="2:6" s="79" customFormat="1" ht="15.75" x14ac:dyDescent="0.25">
      <c r="B31" s="158">
        <v>18</v>
      </c>
      <c r="C31" s="30">
        <v>4.3812430359358598E-2</v>
      </c>
      <c r="D31" s="73">
        <f t="shared" si="1"/>
        <v>0.22427791731576424</v>
      </c>
      <c r="E31" s="65">
        <v>205.25379375185952</v>
      </c>
      <c r="F31" s="30">
        <f t="shared" si="2"/>
        <v>46.033893383826474</v>
      </c>
    </row>
    <row r="32" spans="2:6" s="79" customFormat="1" ht="15.75" x14ac:dyDescent="0.25">
      <c r="B32" s="158">
        <v>19</v>
      </c>
      <c r="C32" s="30">
        <v>4.357670146856546E-2</v>
      </c>
      <c r="D32" s="73">
        <f t="shared" si="1"/>
        <v>0.2230712098986089</v>
      </c>
      <c r="E32" s="65">
        <v>205.64335991944739</v>
      </c>
      <c r="F32" s="30">
        <f t="shared" si="2"/>
        <v>45.873113104846226</v>
      </c>
    </row>
    <row r="33" spans="2:6" s="79" customFormat="1" ht="15.75" x14ac:dyDescent="0.25">
      <c r="B33" s="158">
        <v>20</v>
      </c>
      <c r="C33" s="30">
        <v>4.3369056192072181E-2</v>
      </c>
      <c r="D33" s="73">
        <f t="shared" si="1"/>
        <v>0.22200826384036951</v>
      </c>
      <c r="E33" s="65">
        <v>205.66705134889739</v>
      </c>
      <c r="F33" s="30">
        <f t="shared" si="2"/>
        <v>45.659784999136832</v>
      </c>
    </row>
    <row r="34" spans="2:6" s="79" customFormat="1" ht="15.75" x14ac:dyDescent="0.25">
      <c r="B34" s="158">
        <v>21</v>
      </c>
      <c r="C34" s="30">
        <v>4.317110404199645E-2</v>
      </c>
      <c r="D34" s="73">
        <f t="shared" si="1"/>
        <v>0.22099493735783896</v>
      </c>
      <c r="E34" s="65">
        <v>205.46731695982297</v>
      </c>
      <c r="F34" s="30">
        <f t="shared" si="2"/>
        <v>45.407236840619319</v>
      </c>
    </row>
    <row r="35" spans="2:6" s="79" customFormat="1" ht="15.75" x14ac:dyDescent="0.25">
      <c r="B35" s="158">
        <v>22</v>
      </c>
      <c r="C35" s="30">
        <v>4.2953332302677297E-2</v>
      </c>
      <c r="D35" s="73">
        <f t="shared" si="1"/>
        <v>0.21988015345418141</v>
      </c>
      <c r="E35" s="65">
        <v>205.2787560917794</v>
      </c>
      <c r="F35" s="30">
        <f t="shared" si="2"/>
        <v>45.136724390343929</v>
      </c>
    </row>
    <row r="36" spans="2:6" s="79" customFormat="1" ht="15.75" x14ac:dyDescent="0.25">
      <c r="B36" s="158">
        <v>23</v>
      </c>
      <c r="C36" s="30">
        <v>4.2888444517021458E-2</v>
      </c>
      <c r="D36" s="73">
        <f t="shared" si="1"/>
        <v>0.21954798978951462</v>
      </c>
      <c r="E36" s="65">
        <v>203.763768244365</v>
      </c>
      <c r="F36" s="30">
        <f t="shared" si="2"/>
        <v>44.735925709986873</v>
      </c>
    </row>
    <row r="37" spans="2:6" s="79" customFormat="1" ht="15.75" x14ac:dyDescent="0.25">
      <c r="B37" s="158">
        <v>24</v>
      </c>
      <c r="C37" s="30">
        <v>4.2569361555890146E-2</v>
      </c>
      <c r="D37" s="73">
        <f t="shared" si="1"/>
        <v>0.2179145889170567</v>
      </c>
      <c r="E37" s="65">
        <v>204.11788072212718</v>
      </c>
      <c r="F37" s="30">
        <f t="shared" si="2"/>
        <v>44.48026406818316</v>
      </c>
    </row>
    <row r="38" spans="2:6" s="79" customFormat="1" ht="15.75" x14ac:dyDescent="0.25">
      <c r="B38" s="159">
        <v>25</v>
      </c>
      <c r="C38" s="102">
        <v>4.2237009911028994E-2</v>
      </c>
      <c r="D38" s="105">
        <f t="shared" si="1"/>
        <v>0.21621326502074367</v>
      </c>
      <c r="E38" s="106">
        <v>204.48562525524321</v>
      </c>
      <c r="F38" s="104">
        <f t="shared" si="2"/>
        <v>44.212504686244372</v>
      </c>
    </row>
    <row r="39" spans="2:6" s="79" customFormat="1" ht="15.75" x14ac:dyDescent="0.25">
      <c r="B39" s="158">
        <v>26</v>
      </c>
      <c r="C39" s="30">
        <v>4.205363541382072E-2</v>
      </c>
      <c r="D39" s="73">
        <f t="shared" si="1"/>
        <v>0.21527456223741556</v>
      </c>
      <c r="E39" s="65">
        <v>204.86665199547932</v>
      </c>
      <c r="F39" s="30">
        <f t="shared" si="2"/>
        <v>44.102578825371765</v>
      </c>
    </row>
    <row r="40" spans="2:6" s="79" customFormat="1" ht="15.75" x14ac:dyDescent="0.25">
      <c r="B40" s="158">
        <v>27</v>
      </c>
      <c r="C40" s="30">
        <v>4.1877693350344906E-2</v>
      </c>
      <c r="D40" s="73">
        <f t="shared" si="1"/>
        <v>0.2143739064362894</v>
      </c>
      <c r="E40" s="65">
        <v>205.26042784382304</v>
      </c>
      <c r="F40" s="30">
        <f t="shared" si="2"/>
        <v>44.002479753664453</v>
      </c>
    </row>
    <row r="41" spans="2:6" s="79" customFormat="1" ht="15.75" x14ac:dyDescent="0.25">
      <c r="B41" s="158">
        <v>28</v>
      </c>
      <c r="C41" s="30">
        <v>4.1709014701260774E-2</v>
      </c>
      <c r="D41" s="73">
        <f t="shared" si="1"/>
        <v>0.21351043239931108</v>
      </c>
      <c r="E41" s="65">
        <v>205.66624766982392</v>
      </c>
      <c r="F41" s="30">
        <f t="shared" si="2"/>
        <v>43.911889469927914</v>
      </c>
    </row>
    <row r="42" spans="2:6" s="79" customFormat="1" ht="15.75" x14ac:dyDescent="0.25">
      <c r="B42" s="158">
        <v>29</v>
      </c>
      <c r="C42" s="30">
        <v>4.1547437701854144E-2</v>
      </c>
      <c r="D42" s="73">
        <f t="shared" si="1"/>
        <v>0.21268331204520571</v>
      </c>
      <c r="E42" s="65">
        <v>206.08324441209163</v>
      </c>
      <c r="F42" s="30">
        <f t="shared" si="2"/>
        <v>43.830466978585278</v>
      </c>
    </row>
    <row r="43" spans="2:6" s="79" customFormat="1" ht="15.75" x14ac:dyDescent="0.25">
      <c r="B43" s="158">
        <v>30</v>
      </c>
      <c r="C43" s="30">
        <v>4.1392807809202563E-2</v>
      </c>
      <c r="D43" s="73">
        <f t="shared" si="1"/>
        <v>0.21189175426139406</v>
      </c>
      <c r="E43" s="65">
        <v>206.51039850100676</v>
      </c>
      <c r="F43" s="30">
        <f t="shared" si="2"/>
        <v>43.757850611597888</v>
      </c>
    </row>
    <row r="44" spans="2:6" s="79" customFormat="1" ht="15.75" x14ac:dyDescent="0.25">
      <c r="B44" s="158">
        <v>31</v>
      </c>
      <c r="C44" s="30">
        <v>4.124497765329431E-2</v>
      </c>
      <c r="D44" s="73">
        <f t="shared" si="1"/>
        <v>0.21113500465376847</v>
      </c>
      <c r="E44" s="65">
        <v>206.9465467596745</v>
      </c>
      <c r="F44" s="30">
        <f t="shared" si="2"/>
        <v>43.693660113185189</v>
      </c>
    </row>
    <row r="45" spans="2:6" s="79" customFormat="1" ht="15.75" x14ac:dyDescent="0.25">
      <c r="B45" s="158">
        <v>32</v>
      </c>
      <c r="C45" s="30">
        <v>4.1103806983734725E-2</v>
      </c>
      <c r="D45" s="73">
        <f t="shared" si="1"/>
        <v>0.21041234527388011</v>
      </c>
      <c r="E45" s="65">
        <v>207.39039085574089</v>
      </c>
      <c r="F45" s="30">
        <f t="shared" si="2"/>
        <v>43.637498527223102</v>
      </c>
    </row>
    <row r="46" spans="2:6" s="79" customFormat="1" ht="15.75" x14ac:dyDescent="0.25">
      <c r="B46" s="158">
        <v>33</v>
      </c>
      <c r="C46" s="30">
        <v>4.0969162615309661E-2</v>
      </c>
      <c r="D46" s="73">
        <f t="shared" si="1"/>
        <v>0.20972309434027564</v>
      </c>
      <c r="E46" s="65">
        <v>207.84050535036229</v>
      </c>
      <c r="F46" s="30">
        <f t="shared" si="2"/>
        <v>43.588953911324595</v>
      </c>
    </row>
    <row r="47" spans="2:6" s="79" customFormat="1" ht="15.75" x14ac:dyDescent="0.25">
      <c r="B47" s="158">
        <v>34</v>
      </c>
      <c r="C47" s="30">
        <v>4.0840918373325541E-2</v>
      </c>
      <c r="D47" s="73">
        <f t="shared" si="1"/>
        <v>0.20906660595869025</v>
      </c>
      <c r="E47" s="65">
        <v>208.29534538071474</v>
      </c>
      <c r="F47" s="30">
        <f t="shared" si="2"/>
        <v>43.54760089573918</v>
      </c>
    </row>
    <row r="48" spans="2:6" s="79" customFormat="1" ht="15.75" x14ac:dyDescent="0.25">
      <c r="B48" s="158">
        <v>35</v>
      </c>
      <c r="C48" s="30">
        <v>4.0718955038983852E-2</v>
      </c>
      <c r="D48" s="73">
        <f t="shared" si="1"/>
        <v>0.20844226984241732</v>
      </c>
      <c r="E48" s="65">
        <v>208.75325400740795</v>
      </c>
      <c r="F48" s="30">
        <f t="shared" si="2"/>
        <v>43.513002102294813</v>
      </c>
    </row>
    <row r="49" spans="2:6" s="79" customFormat="1" ht="15.75" x14ac:dyDescent="0.25">
      <c r="B49" s="158">
        <v>36</v>
      </c>
      <c r="C49" s="30">
        <v>4.0603160294863092E-2</v>
      </c>
      <c r="D49" s="73">
        <f t="shared" si="1"/>
        <v>0.20784951103322771</v>
      </c>
      <c r="E49" s="65">
        <v>209.21246925481626</v>
      </c>
      <c r="F49" s="30">
        <f t="shared" si="2"/>
        <v>43.484709436667742</v>
      </c>
    </row>
    <row r="50" spans="2:6" s="79" customFormat="1" ht="15.75" x14ac:dyDescent="0.25">
      <c r="B50" s="158">
        <v>37</v>
      </c>
      <c r="C50" s="30">
        <v>4.049342867052811E-2</v>
      </c>
      <c r="D50" s="73">
        <f t="shared" si="1"/>
        <v>0.2072877896229415</v>
      </c>
      <c r="E50" s="65">
        <v>209.67113086964102</v>
      </c>
      <c r="F50" s="30">
        <f t="shared" si="2"/>
        <v>43.462265265710386</v>
      </c>
    </row>
    <row r="51" spans="2:6" s="79" customFormat="1" ht="15.75" x14ac:dyDescent="0.25">
      <c r="B51" s="158">
        <v>38</v>
      </c>
      <c r="C51" s="30">
        <v>4.0389661488272784E-2</v>
      </c>
      <c r="D51" s="73">
        <f t="shared" si="1"/>
        <v>0.20675660047568209</v>
      </c>
      <c r="E51" s="65">
        <v>210.12728682073546</v>
      </c>
      <c r="F51" s="30">
        <f t="shared" si="2"/>
        <v>43.445203490233858</v>
      </c>
    </row>
    <row r="52" spans="2:6" s="79" customFormat="1" ht="15.75" x14ac:dyDescent="0.25">
      <c r="B52" s="158">
        <v>39</v>
      </c>
      <c r="C52" s="30">
        <v>4.0291766808997743E-2</v>
      </c>
      <c r="D52" s="73">
        <f t="shared" si="1"/>
        <v>0.20625547295082178</v>
      </c>
      <c r="E52" s="65">
        <v>210.57889956120306</v>
      </c>
      <c r="F52" s="30">
        <f t="shared" si="2"/>
        <v>43.433050522459531</v>
      </c>
    </row>
    <row r="53" spans="2:6" s="79" customFormat="1" ht="15.75" x14ac:dyDescent="0.25">
      <c r="B53" s="158">
        <v>40</v>
      </c>
      <c r="C53" s="30">
        <v>4.0199659378223285E-2</v>
      </c>
      <c r="D53" s="73">
        <f t="shared" si="1"/>
        <v>0.20578397062661918</v>
      </c>
      <c r="E53" s="65">
        <v>211.02385207200075</v>
      </c>
      <c r="F53" s="30">
        <f t="shared" si="2"/>
        <v>43.425326176300636</v>
      </c>
    </row>
    <row r="54" spans="2:6" s="79" customFormat="1" ht="15.75" x14ac:dyDescent="0.25">
      <c r="B54" s="158">
        <v>41</v>
      </c>
      <c r="C54" s="30">
        <v>4.0113260572237949E-2</v>
      </c>
      <c r="D54" s="73">
        <f t="shared" si="1"/>
        <v>0.20534169102455138</v>
      </c>
      <c r="E54" s="65">
        <v>211.45995370469083</v>
      </c>
      <c r="F54" s="30">
        <f t="shared" si="2"/>
        <v>43.421544477694567</v>
      </c>
    </row>
    <row r="55" spans="2:6" s="79" customFormat="1" ht="15.75" x14ac:dyDescent="0.25">
      <c r="B55" s="158">
        <v>42</v>
      </c>
      <c r="C55" s="30">
        <v>4.0032498344382453E-2</v>
      </c>
      <c r="D55" s="73">
        <f t="shared" si="1"/>
        <v>0.20492826533433872</v>
      </c>
      <c r="E55" s="65">
        <v>211.88494583957177</v>
      </c>
      <c r="F55" s="30">
        <f t="shared" si="2"/>
        <v>43.421214401363756</v>
      </c>
    </row>
    <row r="56" spans="2:6" s="79" customFormat="1" ht="15.75" x14ac:dyDescent="0.25">
      <c r="B56" s="158">
        <v>43</v>
      </c>
      <c r="C56" s="30">
        <v>3.9957307171469274E-2</v>
      </c>
      <c r="D56" s="73">
        <f t="shared" si="1"/>
        <v>0.20454335813966412</v>
      </c>
      <c r="E56" s="65">
        <v>212.29650737416154</v>
      </c>
      <c r="F56" s="30">
        <f t="shared" si="2"/>
        <v>43.42384053963297</v>
      </c>
    </row>
    <row r="57" spans="2:6" s="79" customFormat="1" ht="15.75" x14ac:dyDescent="0.25">
      <c r="B57" s="158">
        <v>44</v>
      </c>
      <c r="C57" s="30">
        <v>3.9887628000337773E-2</v>
      </c>
      <c r="D57" s="73">
        <f t="shared" si="1"/>
        <v>0.20418666714458619</v>
      </c>
      <c r="E57" s="65">
        <v>212.69226005587601</v>
      </c>
      <c r="F57" s="30">
        <f t="shared" si="2"/>
        <v>43.428923708258921</v>
      </c>
    </row>
    <row r="58" spans="2:6" s="79" customFormat="1" ht="15.75" x14ac:dyDescent="0.25">
      <c r="B58" s="158">
        <v>45</v>
      </c>
      <c r="C58" s="30">
        <v>3.9823408194544878E-2</v>
      </c>
      <c r="D58" s="73">
        <f t="shared" si="1"/>
        <v>0.20385792290064639</v>
      </c>
      <c r="E58" s="65">
        <v>213.06977367174778</v>
      </c>
      <c r="F58" s="30">
        <f t="shared" si="2"/>
        <v>43.435961493633336</v>
      </c>
    </row>
    <row r="59" spans="2:6" s="79" customFormat="1" ht="15.75" x14ac:dyDescent="0.25">
      <c r="B59" s="158">
        <v>46</v>
      </c>
      <c r="C59" s="30">
        <v>3.9764601481191195E-2</v>
      </c>
      <c r="D59" s="73">
        <f t="shared" si="1"/>
        <v>0.20355688853466919</v>
      </c>
      <c r="E59" s="65">
        <v>213.42657110712611</v>
      </c>
      <c r="F59" s="30">
        <f t="shared" si="2"/>
        <v>43.444448745189916</v>
      </c>
    </row>
    <row r="60" spans="2:6" s="79" customFormat="1" ht="15.75" x14ac:dyDescent="0.25">
      <c r="B60" s="158">
        <v>47</v>
      </c>
      <c r="C60" s="30">
        <v>3.9711167897882794E-2</v>
      </c>
      <c r="D60" s="73">
        <f t="shared" si="1"/>
        <v>0.20328335947725715</v>
      </c>
      <c r="E60" s="65">
        <v>213.76013328450242</v>
      </c>
      <c r="F60" s="30">
        <f t="shared" si="2"/>
        <v>43.453878016379903</v>
      </c>
    </row>
    <row r="61" spans="2:6" s="79" customFormat="1" ht="15.75" x14ac:dyDescent="0.25">
      <c r="B61" s="158">
        <v>48</v>
      </c>
      <c r="C61" s="30">
        <v>3.9663073739828456E-2</v>
      </c>
      <c r="D61" s="73">
        <f t="shared" si="1"/>
        <v>0.20303716319197898</v>
      </c>
      <c r="E61" s="65">
        <v>214.06790399289005</v>
      </c>
      <c r="F61" s="30">
        <f t="shared" si="2"/>
        <v>43.463739957169309</v>
      </c>
    </row>
    <row r="62" spans="2:6" s="79" customFormat="1" ht="15.75" x14ac:dyDescent="0.25">
      <c r="B62" s="158">
        <v>49</v>
      </c>
      <c r="C62" s="30">
        <v>3.9620291507072546E-2</v>
      </c>
      <c r="D62" s="73">
        <f t="shared" si="1"/>
        <v>0.20281815890525229</v>
      </c>
      <c r="E62" s="65">
        <v>214.34729461754796</v>
      </c>
      <c r="F62" s="30">
        <f t="shared" si="2"/>
        <v>43.473523660652774</v>
      </c>
    </row>
    <row r="63" spans="2:6" s="79" customFormat="1" ht="15.75" x14ac:dyDescent="0.25">
      <c r="B63" s="158">
        <v>50</v>
      </c>
      <c r="C63" s="30">
        <v>3.958279985186329E-2</v>
      </c>
      <c r="D63" s="73">
        <f t="shared" si="1"/>
        <v>0.2026262373369192</v>
      </c>
      <c r="E63" s="65">
        <v>214.59568877927319</v>
      </c>
      <c r="F63" s="30">
        <f t="shared" si="2"/>
        <v>43.482716966068658</v>
      </c>
    </row>
    <row r="64" spans="2:6" s="79" customFormat="1" ht="15.75" x14ac:dyDescent="0.25">
      <c r="B64" s="158">
        <v>51</v>
      </c>
      <c r="C64" s="30">
        <v>3.9550583526156757E-2</v>
      </c>
      <c r="D64" s="73">
        <f t="shared" si="1"/>
        <v>0.20246132043151671</v>
      </c>
      <c r="E64" s="65">
        <v>214.81044689198521</v>
      </c>
      <c r="F64" s="30">
        <f t="shared" si="2"/>
        <v>43.490806720235518</v>
      </c>
    </row>
    <row r="65" spans="2:6" s="79" customFormat="1" ht="15.75" x14ac:dyDescent="0.25">
      <c r="B65" s="158">
        <v>52</v>
      </c>
      <c r="C65" s="30">
        <v>3.9523633329256326E-2</v>
      </c>
      <c r="D65" s="73">
        <f t="shared" si="1"/>
        <v>0.20232336109024068</v>
      </c>
      <c r="E65" s="65">
        <v>214.98891064687695</v>
      </c>
      <c r="F65" s="30">
        <f t="shared" si="2"/>
        <v>43.497278999205577</v>
      </c>
    </row>
    <row r="66" spans="2:6" s="79" customFormat="1" ht="15.75" x14ac:dyDescent="0.25">
      <c r="B66" s="158">
        <v>53</v>
      </c>
      <c r="C66" s="30">
        <v>3.9501946055587579E-2</v>
      </c>
      <c r="D66" s="73">
        <f t="shared" si="1"/>
        <v>0.20221234290360307</v>
      </c>
      <c r="E66" s="65">
        <v>215.12840743102188</v>
      </c>
      <c r="F66" s="30">
        <f t="shared" si="2"/>
        <v>43.501619291747829</v>
      </c>
    </row>
    <row r="67" spans="2:6" s="79" customFormat="1" ht="15.75" x14ac:dyDescent="0.25">
      <c r="B67" s="158">
        <v>54</v>
      </c>
      <c r="C67" s="30">
        <v>3.9485524442608964E-2</v>
      </c>
      <c r="D67" s="73">
        <f t="shared" si="1"/>
        <v>0.20212827988478399</v>
      </c>
      <c r="E67" s="65">
        <v>215.2262546879802</v>
      </c>
      <c r="F67" s="30">
        <f t="shared" si="2"/>
        <v>43.503312646125863</v>
      </c>
    </row>
    <row r="68" spans="2:6" s="79" customFormat="1" ht="15.75" x14ac:dyDescent="0.25">
      <c r="B68" s="158">
        <v>55</v>
      </c>
      <c r="C68" s="30">
        <v>3.947437711885779E-2</v>
      </c>
      <c r="D68" s="73">
        <f t="shared" si="1"/>
        <v>0.20207121620367677</v>
      </c>
      <c r="E68" s="65">
        <v>215.27976422765701</v>
      </c>
      <c r="F68" s="30">
        <f t="shared" si="2"/>
        <v>43.501843781523441</v>
      </c>
    </row>
    <row r="69" spans="2:6" s="79" customFormat="1" ht="15.75" x14ac:dyDescent="0.25">
      <c r="B69" s="158">
        <v>56</v>
      </c>
      <c r="C69" s="30">
        <v>3.9468518552131862E-2</v>
      </c>
      <c r="D69" s="73">
        <f t="shared" si="1"/>
        <v>0.20204122592162738</v>
      </c>
      <c r="E69" s="65">
        <v>215.28624649240643</v>
      </c>
      <c r="F69" s="30">
        <f t="shared" si="2"/>
        <v>43.496697165391446</v>
      </c>
    </row>
    <row r="70" spans="2:6" s="79" customFormat="1" ht="15.75" x14ac:dyDescent="0.25">
      <c r="B70" s="158">
        <v>57</v>
      </c>
      <c r="C70" s="30">
        <v>3.9467968997806697E-2</v>
      </c>
      <c r="D70" s="73">
        <f t="shared" si="1"/>
        <v>0.20203841272686762</v>
      </c>
      <c r="E70" s="65">
        <v>215.24301478616854</v>
      </c>
      <c r="F70" s="30">
        <f t="shared" si="2"/>
        <v>43.487357057943193</v>
      </c>
    </row>
    <row r="71" spans="2:6" s="79" customFormat="1" ht="15.75" x14ac:dyDescent="0.25">
      <c r="B71" s="158">
        <v>58</v>
      </c>
      <c r="C71" s="30">
        <v>3.9472754447288212E-2</v>
      </c>
      <c r="D71" s="73">
        <f t="shared" si="1"/>
        <v>0.20206290967064203</v>
      </c>
      <c r="E71" s="65">
        <v>215.1473894732498</v>
      </c>
      <c r="F71" s="30">
        <f t="shared" si="2"/>
        <v>43.473307525007712</v>
      </c>
    </row>
    <row r="72" spans="2:6" s="79" customFormat="1" ht="15.75" x14ac:dyDescent="0.25">
      <c r="B72" s="158">
        <v>59</v>
      </c>
      <c r="C72" s="30">
        <v>3.948290657660098E-2</v>
      </c>
      <c r="D72" s="73">
        <f t="shared" si="1"/>
        <v>0.20211487890402882</v>
      </c>
      <c r="E72" s="65">
        <v>214.99670215321802</v>
      </c>
      <c r="F72" s="30">
        <f t="shared" si="2"/>
        <v>43.454032420463214</v>
      </c>
    </row>
    <row r="73" spans="2:6" s="79" customFormat="1" ht="15.75" x14ac:dyDescent="0.25">
      <c r="B73" s="158">
        <v>60</v>
      </c>
      <c r="C73" s="30">
        <v>3.9498462695111994E-2</v>
      </c>
      <c r="D73" s="73">
        <f t="shared" si="1"/>
        <v>0.20219451141545425</v>
      </c>
      <c r="E73" s="65">
        <v>214.78829981828434</v>
      </c>
      <c r="F73" s="30">
        <f t="shared" si="2"/>
        <v>43.429015339514102</v>
      </c>
    </row>
  </sheetData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74"/>
  <sheetViews>
    <sheetView zoomScale="90" zoomScaleNormal="90" workbookViewId="0">
      <selection activeCell="L21" sqref="L21"/>
    </sheetView>
  </sheetViews>
  <sheetFormatPr defaultColWidth="9.140625" defaultRowHeight="15.75" x14ac:dyDescent="0.25"/>
  <cols>
    <col min="1" max="1" width="9.140625" style="23"/>
    <col min="2" max="2" width="19.140625" style="24" customWidth="1"/>
    <col min="3" max="3" width="23" style="24" customWidth="1"/>
    <col min="4" max="4" width="16.140625" style="45" customWidth="1"/>
    <col min="5" max="5" width="19.7109375" style="24" customWidth="1"/>
    <col min="6" max="6" width="18.5703125" style="24" bestFit="1" customWidth="1"/>
    <col min="7" max="7" width="18.5703125" style="24" customWidth="1"/>
    <col min="8" max="8" width="16.140625" style="23" customWidth="1"/>
    <col min="9" max="9" width="18.5703125" style="45" bestFit="1" customWidth="1"/>
    <col min="10" max="16384" width="9.140625" style="23"/>
  </cols>
  <sheetData>
    <row r="1" spans="1:44" s="24" customFormat="1" x14ac:dyDescent="0.25">
      <c r="B1" s="41"/>
      <c r="C1" s="41"/>
      <c r="D1" s="41"/>
    </row>
    <row r="2" spans="1:44" s="24" customFormat="1" x14ac:dyDescent="0.25">
      <c r="B2" s="53" t="s">
        <v>100</v>
      </c>
      <c r="C2" s="53" t="s">
        <v>0</v>
      </c>
      <c r="D2" s="53" t="s">
        <v>65</v>
      </c>
    </row>
    <row r="3" spans="1:44" s="24" customFormat="1" ht="63" x14ac:dyDescent="0.25">
      <c r="B3" s="31" t="s">
        <v>120</v>
      </c>
      <c r="C3" s="31" t="s">
        <v>101</v>
      </c>
      <c r="D3" s="31"/>
    </row>
    <row r="4" spans="1:44" s="24" customFormat="1" ht="31.5" x14ac:dyDescent="0.25">
      <c r="B4" s="31" t="s">
        <v>108</v>
      </c>
      <c r="C4" s="31" t="s">
        <v>102</v>
      </c>
      <c r="D4" s="31">
        <v>2.0199999999999999E-2</v>
      </c>
    </row>
    <row r="5" spans="1:44" s="24" customFormat="1" ht="78.75" x14ac:dyDescent="0.25">
      <c r="B5" s="31" t="s">
        <v>107</v>
      </c>
      <c r="C5" s="31" t="s">
        <v>110</v>
      </c>
      <c r="D5" s="31">
        <f>6.5/100</f>
        <v>6.5000000000000002E-2</v>
      </c>
    </row>
    <row r="6" spans="1:44" s="24" customFormat="1" x14ac:dyDescent="0.25">
      <c r="B6" s="31" t="s">
        <v>103</v>
      </c>
      <c r="C6" s="31" t="s">
        <v>160</v>
      </c>
      <c r="D6" s="31"/>
    </row>
    <row r="7" spans="1:44" s="24" customFormat="1" ht="47.25" x14ac:dyDescent="0.25">
      <c r="B7" s="31" t="s">
        <v>121</v>
      </c>
      <c r="C7" s="54" t="s">
        <v>144</v>
      </c>
      <c r="D7" s="54" t="s">
        <v>143</v>
      </c>
      <c r="E7" s="43"/>
      <c r="F7" s="43"/>
    </row>
    <row r="8" spans="1:44" s="24" customFormat="1" x14ac:dyDescent="0.25">
      <c r="B8" s="39"/>
      <c r="C8" s="39"/>
      <c r="D8" s="43"/>
      <c r="E8" s="39"/>
      <c r="F8" s="39"/>
      <c r="G8" s="39"/>
      <c r="H8" s="39"/>
      <c r="I8" s="44"/>
    </row>
    <row r="9" spans="1:44" s="24" customFormat="1" ht="41.25" customHeight="1" x14ac:dyDescent="0.25">
      <c r="B9" s="75" t="s">
        <v>60</v>
      </c>
      <c r="C9" s="75" t="s">
        <v>71</v>
      </c>
      <c r="D9" s="68" t="s">
        <v>120</v>
      </c>
      <c r="E9" s="75" t="s">
        <v>51</v>
      </c>
      <c r="F9" s="75" t="s">
        <v>122</v>
      </c>
      <c r="G9" s="75" t="s">
        <v>134</v>
      </c>
      <c r="H9" s="76" t="s">
        <v>121</v>
      </c>
      <c r="I9" s="68" t="s">
        <v>123</v>
      </c>
    </row>
    <row r="10" spans="1:44" s="24" customFormat="1" ht="15.75" customHeight="1" x14ac:dyDescent="0.25">
      <c r="B10" s="156">
        <v>0.5</v>
      </c>
      <c r="C10" s="99">
        <v>3.2752985087047701E-2</v>
      </c>
      <c r="D10" s="107">
        <f>(C10/0.0202)*0.065</f>
        <v>0.10539326884446043</v>
      </c>
      <c r="E10" s="80">
        <v>49.467040112990802</v>
      </c>
      <c r="F10" s="100">
        <f>D10*E10</f>
        <v>5.2134930575681482</v>
      </c>
      <c r="G10" s="100">
        <v>0.16757784462416769</v>
      </c>
      <c r="H10" s="105">
        <f>D10+G10</f>
        <v>0.27297111346862812</v>
      </c>
      <c r="I10" s="109">
        <f>H10*E10</f>
        <v>13.503073019640391</v>
      </c>
    </row>
    <row r="11" spans="1:44" s="24" customFormat="1" ht="15.75" customHeight="1" x14ac:dyDescent="0.25">
      <c r="B11" s="156">
        <v>1</v>
      </c>
      <c r="C11" s="99">
        <v>3.0640510013659226E-2</v>
      </c>
      <c r="D11" s="107">
        <f t="shared" ref="D11:D12" si="0">(C11/0.0202)*0.065</f>
        <v>9.8595700539002462E-2</v>
      </c>
      <c r="E11" s="80">
        <v>61.232944313725149</v>
      </c>
      <c r="F11" s="100">
        <f>D11*E11</f>
        <v>6.0373050406774587</v>
      </c>
      <c r="G11" s="100">
        <v>0.16707847726882977</v>
      </c>
      <c r="H11" s="105">
        <f t="shared" ref="H11:H12" si="1">D11+G11</f>
        <v>0.2656741778078322</v>
      </c>
      <c r="I11" s="109">
        <f t="shared" ref="I11:I72" si="2">H11*E11</f>
        <v>16.268012135301703</v>
      </c>
    </row>
    <row r="12" spans="1:44" s="24" customFormat="1" ht="15.75" customHeight="1" x14ac:dyDescent="0.25">
      <c r="B12" s="156">
        <v>1.5</v>
      </c>
      <c r="C12" s="99">
        <v>2.9399084381399154E-2</v>
      </c>
      <c r="D12" s="107">
        <f t="shared" si="0"/>
        <v>9.4601014098561642E-2</v>
      </c>
      <c r="E12" s="80">
        <v>69.997200000000007</v>
      </c>
      <c r="F12" s="100">
        <f>D12*E12</f>
        <v>6.6218061040598393</v>
      </c>
      <c r="G12" s="100">
        <v>0.16920722732879911</v>
      </c>
      <c r="H12" s="105">
        <f t="shared" si="1"/>
        <v>0.26380824142736076</v>
      </c>
      <c r="I12" s="109">
        <f t="shared" si="2"/>
        <v>18.465838236839257</v>
      </c>
    </row>
    <row r="13" spans="1:44" s="24" customFormat="1" x14ac:dyDescent="0.25">
      <c r="B13" s="156">
        <v>2</v>
      </c>
      <c r="C13" s="99">
        <v>2.8547382463668763E-2</v>
      </c>
      <c r="D13" s="107">
        <f t="shared" ref="D13:D73" si="3">(C13/0.0202)*0.065</f>
        <v>9.1860389115765828E-2</v>
      </c>
      <c r="E13" s="80">
        <v>79.269769274918261</v>
      </c>
      <c r="F13" s="100">
        <f t="shared" ref="F13:F72" si="4">D13*E13</f>
        <v>7.28175185071097</v>
      </c>
      <c r="G13" s="100">
        <v>0.17174360980699027</v>
      </c>
      <c r="H13" s="105">
        <f t="shared" ref="H13:H72" si="5">D13+G13</f>
        <v>0.2636039989227561</v>
      </c>
      <c r="I13" s="109">
        <f t="shared" si="2"/>
        <v>20.895828174552676</v>
      </c>
    </row>
    <row r="14" spans="1:44" s="167" customFormat="1" x14ac:dyDescent="0.25">
      <c r="A14" s="24"/>
      <c r="B14" s="156">
        <v>3</v>
      </c>
      <c r="C14" s="99">
        <v>2.7423922722761163E-2</v>
      </c>
      <c r="D14" s="107">
        <f t="shared" si="3"/>
        <v>8.8245295890073058E-2</v>
      </c>
      <c r="E14" s="80">
        <v>89.670247635677129</v>
      </c>
      <c r="F14" s="100">
        <f t="shared" si="4"/>
        <v>7.9129775351464522</v>
      </c>
      <c r="G14" s="100">
        <v>0.17657507362154204</v>
      </c>
      <c r="H14" s="105">
        <f t="shared" si="5"/>
        <v>0.26482036951161508</v>
      </c>
      <c r="I14" s="109">
        <f t="shared" si="2"/>
        <v>23.746508113078047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</row>
    <row r="15" spans="1:44" s="24" customFormat="1" x14ac:dyDescent="0.25">
      <c r="B15" s="160">
        <v>4</v>
      </c>
      <c r="C15" s="35">
        <v>2.664905957345557E-2</v>
      </c>
      <c r="D15" s="74">
        <f t="shared" si="3"/>
        <v>8.5751924370030305E-2</v>
      </c>
      <c r="E15" s="65">
        <v>98.271318855589442</v>
      </c>
      <c r="F15" s="30">
        <f t="shared" si="4"/>
        <v>8.4269547022476381</v>
      </c>
      <c r="G15" s="30">
        <v>0.18286035582701293</v>
      </c>
      <c r="H15" s="73">
        <f t="shared" si="5"/>
        <v>0.26861228019704325</v>
      </c>
      <c r="I15" s="110">
        <f t="shared" si="2"/>
        <v>26.396883035770571</v>
      </c>
    </row>
    <row r="16" spans="1:44" s="24" customFormat="1" x14ac:dyDescent="0.25">
      <c r="B16" s="156">
        <v>4.5</v>
      </c>
      <c r="C16" s="99">
        <v>2.6321349417683937E-2</v>
      </c>
      <c r="D16" s="107">
        <f t="shared" si="3"/>
        <v>8.4697411492547336E-2</v>
      </c>
      <c r="E16" s="80">
        <v>102.04824000000001</v>
      </c>
      <c r="F16" s="100">
        <f t="shared" si="4"/>
        <v>8.643221775370229</v>
      </c>
      <c r="G16" s="100">
        <v>0.18562136318736186</v>
      </c>
      <c r="H16" s="105">
        <f t="shared" si="5"/>
        <v>0.27031877467990917</v>
      </c>
      <c r="I16" s="109">
        <f t="shared" si="2"/>
        <v>27.585555195041294</v>
      </c>
    </row>
    <row r="17" spans="1:44" s="24" customFormat="1" x14ac:dyDescent="0.25">
      <c r="B17" s="156">
        <v>5</v>
      </c>
      <c r="C17" s="99">
        <v>2.6011004720139393E-2</v>
      </c>
      <c r="D17" s="107">
        <f t="shared" si="3"/>
        <v>8.3698777564804983E-2</v>
      </c>
      <c r="E17" s="80">
        <v>106.04282953122835</v>
      </c>
      <c r="F17" s="100">
        <f t="shared" si="4"/>
        <v>8.875655201276814</v>
      </c>
      <c r="G17" s="100">
        <v>0.18780413127643744</v>
      </c>
      <c r="H17" s="105">
        <f t="shared" si="5"/>
        <v>0.2715029088412424</v>
      </c>
      <c r="I17" s="109">
        <f t="shared" si="2"/>
        <v>28.790936679484499</v>
      </c>
    </row>
    <row r="18" spans="1:44" s="167" customFormat="1" x14ac:dyDescent="0.25">
      <c r="A18" s="24"/>
      <c r="B18" s="171">
        <v>6</v>
      </c>
      <c r="C18" s="163">
        <v>2.5410465191959539E-2</v>
      </c>
      <c r="D18" s="168">
        <f t="shared" si="3"/>
        <v>8.1766348389968824E-2</v>
      </c>
      <c r="E18" s="165">
        <v>113.6454084449928</v>
      </c>
      <c r="F18" s="164">
        <f t="shared" si="4"/>
        <v>9.2923700598335852</v>
      </c>
      <c r="G18" s="164">
        <v>0.1906881850120562</v>
      </c>
      <c r="H18" s="169">
        <f t="shared" si="5"/>
        <v>0.27245453340202502</v>
      </c>
      <c r="I18" s="170">
        <f t="shared" si="2"/>
        <v>30.963206731163066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</row>
    <row r="19" spans="1:44" s="24" customFormat="1" x14ac:dyDescent="0.25">
      <c r="B19" s="160">
        <v>7</v>
      </c>
      <c r="C19" s="35">
        <v>2.4795272026030924E-2</v>
      </c>
      <c r="D19" s="74">
        <f t="shared" si="3"/>
        <v>7.9786766420396546E-2</v>
      </c>
      <c r="E19" s="65">
        <v>121.7095372999007</v>
      </c>
      <c r="F19" s="30">
        <f t="shared" si="4"/>
        <v>9.7108104236817177</v>
      </c>
      <c r="G19" s="30">
        <v>0.19170930099784586</v>
      </c>
      <c r="H19" s="73">
        <f t="shared" si="5"/>
        <v>0.27149606741824239</v>
      </c>
      <c r="I19" s="110">
        <f t="shared" si="2"/>
        <v>33.043660744216929</v>
      </c>
    </row>
    <row r="20" spans="1:44" s="24" customFormat="1" x14ac:dyDescent="0.25">
      <c r="B20" s="160">
        <v>8</v>
      </c>
      <c r="C20" s="35">
        <v>2.4144376262766165E-2</v>
      </c>
      <c r="D20" s="74">
        <f t="shared" si="3"/>
        <v>7.7692299855435687E-2</v>
      </c>
      <c r="E20" s="65">
        <v>130.73889853853908</v>
      </c>
      <c r="F20" s="30">
        <f t="shared" si="4"/>
        <v>10.157405708025561</v>
      </c>
      <c r="G20" s="30">
        <v>0.1912482632275368</v>
      </c>
      <c r="H20" s="73">
        <f t="shared" si="5"/>
        <v>0.26894056308297248</v>
      </c>
      <c r="I20" s="110">
        <f t="shared" si="2"/>
        <v>35.16099298980231</v>
      </c>
    </row>
    <row r="21" spans="1:44" s="24" customFormat="1" x14ac:dyDescent="0.25">
      <c r="B21" s="160">
        <v>9</v>
      </c>
      <c r="C21" s="35">
        <v>2.3464580767809551E-2</v>
      </c>
      <c r="D21" s="74">
        <f t="shared" si="3"/>
        <v>7.5504839104337668E-2</v>
      </c>
      <c r="E21" s="65">
        <v>141.10539374322971</v>
      </c>
      <c r="F21" s="30">
        <f t="shared" si="4"/>
        <v>10.654140051336775</v>
      </c>
      <c r="G21" s="30">
        <v>0.19001069444313479</v>
      </c>
      <c r="H21" s="73">
        <f t="shared" si="5"/>
        <v>0.26551553354747248</v>
      </c>
      <c r="I21" s="110">
        <f t="shared" si="2"/>
        <v>37.465673906159822</v>
      </c>
    </row>
    <row r="22" spans="1:44" s="24" customFormat="1" x14ac:dyDescent="0.25">
      <c r="B22" s="160">
        <v>10</v>
      </c>
      <c r="C22" s="35">
        <v>2.2785996485586161E-2</v>
      </c>
      <c r="D22" s="74">
        <f t="shared" si="3"/>
        <v>7.332127581995547E-2</v>
      </c>
      <c r="E22" s="65">
        <v>153.00935508733028</v>
      </c>
      <c r="F22" s="30">
        <f t="shared" si="4"/>
        <v>11.21884112739165</v>
      </c>
      <c r="G22" s="30">
        <v>0.18911319645703425</v>
      </c>
      <c r="H22" s="73">
        <f t="shared" si="5"/>
        <v>0.26243447227698974</v>
      </c>
      <c r="I22" s="110">
        <f t="shared" si="2"/>
        <v>40.154929355786059</v>
      </c>
    </row>
    <row r="23" spans="1:44" s="24" customFormat="1" x14ac:dyDescent="0.25">
      <c r="B23" s="156">
        <v>10.3</v>
      </c>
      <c r="C23" s="99">
        <v>2.2589296213331896E-2</v>
      </c>
      <c r="D23" s="107">
        <f t="shared" si="3"/>
        <v>7.2688329399335311E-2</v>
      </c>
      <c r="E23" s="80">
        <v>156.52979999999997</v>
      </c>
      <c r="F23" s="100">
        <f t="shared" si="4"/>
        <v>11.377889663212073</v>
      </c>
      <c r="G23" s="100">
        <v>0.18911319645703425</v>
      </c>
      <c r="H23" s="105">
        <f t="shared" si="5"/>
        <v>0.26180152585636957</v>
      </c>
      <c r="I23" s="109">
        <f t="shared" si="2"/>
        <v>40.979740481992351</v>
      </c>
    </row>
    <row r="24" spans="1:44" s="24" customFormat="1" x14ac:dyDescent="0.25">
      <c r="B24" s="160">
        <v>11</v>
      </c>
      <c r="C24" s="35">
        <v>2.2150470812999739E-2</v>
      </c>
      <c r="D24" s="74">
        <f t="shared" si="3"/>
        <v>7.1276267467573415E-2</v>
      </c>
      <c r="E24" s="65">
        <v>166.0324252528554</v>
      </c>
      <c r="F24" s="30">
        <f t="shared" si="4"/>
        <v>11.834171550612412</v>
      </c>
      <c r="G24" s="30">
        <v>0.18905359874814046</v>
      </c>
      <c r="H24" s="73">
        <f t="shared" si="5"/>
        <v>0.26032986621571386</v>
      </c>
      <c r="I24" s="110">
        <f t="shared" si="2"/>
        <v>43.223199053546359</v>
      </c>
    </row>
    <row r="25" spans="1:44" s="167" customFormat="1" x14ac:dyDescent="0.25">
      <c r="A25" s="24"/>
      <c r="B25" s="156">
        <v>12</v>
      </c>
      <c r="C25" s="99">
        <v>2.1595699299684502E-2</v>
      </c>
      <c r="D25" s="107">
        <f t="shared" si="3"/>
        <v>6.9491111607895673E-2</v>
      </c>
      <c r="E25" s="80">
        <v>178.32089151867854</v>
      </c>
      <c r="F25" s="100">
        <f t="shared" si="4"/>
        <v>12.391716974543947</v>
      </c>
      <c r="G25" s="100">
        <v>0.18855263156658633</v>
      </c>
      <c r="H25" s="105">
        <f t="shared" si="5"/>
        <v>0.25804374317448198</v>
      </c>
      <c r="I25" s="109">
        <f t="shared" si="2"/>
        <v>46.014590333690542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</row>
    <row r="26" spans="1:44" s="167" customFormat="1" x14ac:dyDescent="0.25">
      <c r="A26" s="24"/>
      <c r="B26" s="156">
        <v>13</v>
      </c>
      <c r="C26" s="99">
        <v>2.1143062089021773E-2</v>
      </c>
      <c r="D26" s="107">
        <f t="shared" si="3"/>
        <v>6.8034605732000764E-2</v>
      </c>
      <c r="E26" s="80">
        <v>187.97029761087566</v>
      </c>
      <c r="F26" s="100">
        <f t="shared" si="4"/>
        <v>12.788485087282771</v>
      </c>
      <c r="G26" s="100">
        <v>0.18648495633638495</v>
      </c>
      <c r="H26" s="105">
        <f t="shared" si="5"/>
        <v>0.25451956206838572</v>
      </c>
      <c r="I26" s="109">
        <f t="shared" si="2"/>
        <v>47.8421178297842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</row>
    <row r="27" spans="1:44" s="24" customFormat="1" x14ac:dyDescent="0.25">
      <c r="B27" s="160">
        <v>14</v>
      </c>
      <c r="C27" s="35">
        <v>2.0794740520997956E-2</v>
      </c>
      <c r="D27" s="74">
        <f t="shared" si="3"/>
        <v>6.6913769003211249E-2</v>
      </c>
      <c r="E27" s="65">
        <v>194.82374212617574</v>
      </c>
      <c r="F27" s="30">
        <f t="shared" si="4"/>
        <v>13.036390876972121</v>
      </c>
      <c r="G27" s="30">
        <v>0.1836767113050369</v>
      </c>
      <c r="H27" s="73">
        <f t="shared" si="5"/>
        <v>0.25059048030824815</v>
      </c>
      <c r="I27" s="110">
        <f t="shared" si="2"/>
        <v>48.820975114848657</v>
      </c>
    </row>
    <row r="28" spans="1:44" s="24" customFormat="1" x14ac:dyDescent="0.25">
      <c r="B28" s="156">
        <v>15</v>
      </c>
      <c r="C28" s="99">
        <v>2.0538786983663803E-2</v>
      </c>
      <c r="D28" s="107">
        <f t="shared" si="3"/>
        <v>6.6090156135551845E-2</v>
      </c>
      <c r="E28" s="80">
        <v>199.48014147468479</v>
      </c>
      <c r="F28" s="100">
        <f t="shared" si="4"/>
        <v>13.183673696003888</v>
      </c>
      <c r="G28" s="100">
        <v>0.18108814335967705</v>
      </c>
      <c r="H28" s="105">
        <f t="shared" si="5"/>
        <v>0.2471782994952289</v>
      </c>
      <c r="I28" s="109">
        <f t="shared" si="2"/>
        <v>49.307162152780272</v>
      </c>
    </row>
    <row r="29" spans="1:44" s="24" customFormat="1" x14ac:dyDescent="0.25">
      <c r="B29" s="160">
        <v>16</v>
      </c>
      <c r="C29" s="35">
        <v>2.0356826934547705E-2</v>
      </c>
      <c r="D29" s="74">
        <f t="shared" si="3"/>
        <v>6.550464112601985E-2</v>
      </c>
      <c r="E29" s="65">
        <v>202.48979486199141</v>
      </c>
      <c r="F29" s="30">
        <f t="shared" si="4"/>
        <v>13.264021344116125</v>
      </c>
      <c r="G29" s="30">
        <v>0.17904562169794724</v>
      </c>
      <c r="H29" s="73">
        <f t="shared" si="5"/>
        <v>0.24455026282396708</v>
      </c>
      <c r="I29" s="110">
        <f t="shared" si="2"/>
        <v>49.518932552671181</v>
      </c>
    </row>
    <row r="30" spans="1:44" s="24" customFormat="1" x14ac:dyDescent="0.25">
      <c r="B30" s="160">
        <v>17</v>
      </c>
      <c r="C30" s="35">
        <v>2.0230135411896635E-2</v>
      </c>
      <c r="D30" s="74">
        <f t="shared" si="3"/>
        <v>6.5096970384815919E-2</v>
      </c>
      <c r="E30" s="65">
        <v>204.29504205691799</v>
      </c>
      <c r="F30" s="30">
        <f t="shared" si="4"/>
        <v>13.298988302543913</v>
      </c>
      <c r="G30" s="30">
        <v>0.17751138241084385</v>
      </c>
      <c r="H30" s="73">
        <f t="shared" si="5"/>
        <v>0.24260835279565979</v>
      </c>
      <c r="I30" s="110">
        <f t="shared" si="2"/>
        <v>49.563683637748916</v>
      </c>
    </row>
    <row r="31" spans="1:44" s="24" customFormat="1" x14ac:dyDescent="0.25">
      <c r="B31" s="160">
        <v>18</v>
      </c>
      <c r="C31" s="35">
        <v>2.0142804444484436E-2</v>
      </c>
      <c r="D31" s="74">
        <f t="shared" si="3"/>
        <v>6.4815954895618241E-2</v>
      </c>
      <c r="E31" s="65">
        <v>205.25379375185952</v>
      </c>
      <c r="F31" s="30">
        <f t="shared" si="4"/>
        <v>13.303720637975056</v>
      </c>
      <c r="G31" s="30">
        <v>0.17634091563765464</v>
      </c>
      <c r="H31" s="73">
        <f t="shared" si="5"/>
        <v>0.24115687053327289</v>
      </c>
      <c r="I31" s="110">
        <f t="shared" si="2"/>
        <v>49.498362566280285</v>
      </c>
    </row>
    <row r="32" spans="1:44" s="167" customFormat="1" x14ac:dyDescent="0.25">
      <c r="A32" s="24"/>
      <c r="B32" s="156">
        <v>19</v>
      </c>
      <c r="C32" s="99">
        <v>2.0082642013787112E-2</v>
      </c>
      <c r="D32" s="107">
        <f t="shared" si="3"/>
        <v>6.4622362915651599E-2</v>
      </c>
      <c r="E32" s="80">
        <v>205.64335991944739</v>
      </c>
      <c r="F32" s="100">
        <f t="shared" si="4"/>
        <v>13.289159835908491</v>
      </c>
      <c r="G32" s="100">
        <v>0.17539212900099113</v>
      </c>
      <c r="H32" s="105">
        <f t="shared" si="5"/>
        <v>0.24001449191664273</v>
      </c>
      <c r="I32" s="109">
        <f t="shared" si="2"/>
        <v>49.357386547097455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</row>
    <row r="33" spans="1:44" s="167" customFormat="1" x14ac:dyDescent="0.25">
      <c r="A33" s="24"/>
      <c r="B33" s="156">
        <v>20</v>
      </c>
      <c r="C33" s="99">
        <v>2.0040873707294446E-2</v>
      </c>
      <c r="D33" s="107">
        <f t="shared" si="3"/>
        <v>6.4487959949214801E-2</v>
      </c>
      <c r="E33" s="80">
        <v>205.66705134889739</v>
      </c>
      <c r="F33" s="100">
        <f t="shared" si="4"/>
        <v>13.263048570260798</v>
      </c>
      <c r="G33" s="100">
        <v>0.17455637627318477</v>
      </c>
      <c r="H33" s="105">
        <f t="shared" si="5"/>
        <v>0.23904433622239957</v>
      </c>
      <c r="I33" s="109">
        <f t="shared" si="2"/>
        <v>49.163543772515347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</row>
    <row r="34" spans="1:44" s="24" customFormat="1" x14ac:dyDescent="0.25">
      <c r="B34" s="160">
        <v>21</v>
      </c>
      <c r="C34" s="35">
        <v>2.0011427845451128E-2</v>
      </c>
      <c r="D34" s="74">
        <f t="shared" si="3"/>
        <v>6.4393208413580372E-2</v>
      </c>
      <c r="E34" s="65">
        <v>205.46731695982297</v>
      </c>
      <c r="F34" s="30">
        <f t="shared" si="4"/>
        <v>13.230699763173057</v>
      </c>
      <c r="G34" s="30">
        <v>0.17375963746845555</v>
      </c>
      <c r="H34" s="73">
        <f t="shared" si="5"/>
        <v>0.23815284588203592</v>
      </c>
      <c r="I34" s="110">
        <f t="shared" si="2"/>
        <v>48.932626269728146</v>
      </c>
    </row>
    <row r="35" spans="1:44" s="24" customFormat="1" x14ac:dyDescent="0.25">
      <c r="B35" s="160">
        <v>22</v>
      </c>
      <c r="C35" s="35">
        <v>1.9984460681445597E-2</v>
      </c>
      <c r="D35" s="74">
        <f t="shared" si="3"/>
        <v>6.4306432885839801E-2</v>
      </c>
      <c r="E35" s="65">
        <v>205.2787560917794</v>
      </c>
      <c r="F35" s="30">
        <f t="shared" si="4"/>
        <v>13.200744551504689</v>
      </c>
      <c r="G35" s="30">
        <v>0.17288312667924435</v>
      </c>
      <c r="H35" s="73">
        <f t="shared" si="5"/>
        <v>0.23718955956508414</v>
      </c>
      <c r="I35" s="110">
        <f t="shared" si="2"/>
        <v>48.689977745477492</v>
      </c>
    </row>
    <row r="36" spans="1:44" s="24" customFormat="1" x14ac:dyDescent="0.25">
      <c r="B36" s="160">
        <v>23</v>
      </c>
      <c r="C36" s="35">
        <v>2.0391473187140935E-2</v>
      </c>
      <c r="D36" s="74">
        <f t="shared" si="3"/>
        <v>6.561612659228519E-2</v>
      </c>
      <c r="E36" s="65">
        <v>203.763768244365</v>
      </c>
      <c r="F36" s="30">
        <f t="shared" si="4"/>
        <v>13.370189212043314</v>
      </c>
      <c r="G36" s="30">
        <v>0.17262195943875122</v>
      </c>
      <c r="H36" s="73">
        <f t="shared" si="5"/>
        <v>0.23823808603103641</v>
      </c>
      <c r="I36" s="110">
        <f t="shared" si="2"/>
        <v>48.544290149009193</v>
      </c>
    </row>
    <row r="37" spans="1:44" s="24" customFormat="1" x14ac:dyDescent="0.25">
      <c r="B37" s="160">
        <v>24</v>
      </c>
      <c r="C37" s="35">
        <v>2.0316666652380761E-2</v>
      </c>
      <c r="D37" s="74">
        <f t="shared" si="3"/>
        <v>6.5375412495284627E-2</v>
      </c>
      <c r="E37" s="65">
        <v>204.11788072212718</v>
      </c>
      <c r="F37" s="30">
        <f t="shared" si="4"/>
        <v>13.34429064987237</v>
      </c>
      <c r="G37" s="30">
        <v>0.17133768050081616</v>
      </c>
      <c r="H37" s="73">
        <f t="shared" si="5"/>
        <v>0.23671309299610077</v>
      </c>
      <c r="I37" s="110">
        <f t="shared" si="2"/>
        <v>48.317374881543898</v>
      </c>
    </row>
    <row r="38" spans="1:44" s="98" customFormat="1" x14ac:dyDescent="0.25">
      <c r="B38" s="232">
        <v>25</v>
      </c>
      <c r="C38" s="101">
        <v>2.0245612098828181E-2</v>
      </c>
      <c r="D38" s="107">
        <f t="shared" si="3"/>
        <v>6.5146771605140194E-2</v>
      </c>
      <c r="E38" s="106">
        <v>204.48562525524321</v>
      </c>
      <c r="F38" s="104">
        <f t="shared" si="4"/>
        <v>13.321578325037617</v>
      </c>
      <c r="G38" s="104">
        <v>0.16999999635757673</v>
      </c>
      <c r="H38" s="108">
        <f t="shared" si="5"/>
        <v>0.23514676796271694</v>
      </c>
      <c r="I38" s="106">
        <f t="shared" si="2"/>
        <v>48.084133873605765</v>
      </c>
    </row>
    <row r="39" spans="1:44" s="24" customFormat="1" x14ac:dyDescent="0.25">
      <c r="B39" s="160">
        <v>26</v>
      </c>
      <c r="C39" s="35">
        <v>2.0178191286864443E-2</v>
      </c>
      <c r="D39" s="74">
        <f t="shared" si="3"/>
        <v>6.4929823447831131E-2</v>
      </c>
      <c r="E39" s="65">
        <v>204.86665199547932</v>
      </c>
      <c r="F39" s="30">
        <f t="shared" si="4"/>
        <v>13.301955544414733</v>
      </c>
      <c r="G39" s="30">
        <v>0.1692619312359418</v>
      </c>
      <c r="H39" s="73">
        <f t="shared" si="5"/>
        <v>0.23419175468377293</v>
      </c>
      <c r="I39" s="110">
        <f t="shared" si="2"/>
        <v>47.978080707011173</v>
      </c>
    </row>
    <row r="40" spans="1:44" s="24" customFormat="1" x14ac:dyDescent="0.25">
      <c r="B40" s="160">
        <v>27</v>
      </c>
      <c r="C40" s="35">
        <v>2.0114293777865493E-2</v>
      </c>
      <c r="D40" s="74">
        <f t="shared" si="3"/>
        <v>6.4724212651547375E-2</v>
      </c>
      <c r="E40" s="65">
        <v>205.26042784382304</v>
      </c>
      <c r="F40" s="30">
        <f t="shared" si="4"/>
        <v>13.285319580711198</v>
      </c>
      <c r="G40" s="30">
        <v>0.16855378096173829</v>
      </c>
      <c r="H40" s="73">
        <f t="shared" si="5"/>
        <v>0.23327799361328566</v>
      </c>
      <c r="I40" s="110">
        <f t="shared" si="2"/>
        <v>47.88274077561163</v>
      </c>
    </row>
    <row r="41" spans="1:44" s="24" customFormat="1" x14ac:dyDescent="0.25">
      <c r="B41" s="160">
        <v>28</v>
      </c>
      <c r="C41" s="35">
        <v>2.005381650634842E-2</v>
      </c>
      <c r="D41" s="74">
        <f t="shared" si="3"/>
        <v>6.4529607569933034E-2</v>
      </c>
      <c r="E41" s="65">
        <v>205.66624766982392</v>
      </c>
      <c r="F41" s="30">
        <f t="shared" si="4"/>
        <v>13.271562252514391</v>
      </c>
      <c r="G41" s="30">
        <v>0.16787486524800033</v>
      </c>
      <c r="H41" s="73">
        <f t="shared" si="5"/>
        <v>0.23240447281793336</v>
      </c>
      <c r="I41" s="110">
        <f t="shared" si="2"/>
        <v>47.797755866147945</v>
      </c>
    </row>
    <row r="42" spans="1:44" s="24" customFormat="1" x14ac:dyDescent="0.25">
      <c r="B42" s="160">
        <v>29</v>
      </c>
      <c r="C42" s="35">
        <v>1.9996663330970877E-2</v>
      </c>
      <c r="D42" s="74">
        <f t="shared" si="3"/>
        <v>6.4345698837282528E-2</v>
      </c>
      <c r="E42" s="65">
        <v>206.08324441209163</v>
      </c>
      <c r="F42" s="30">
        <f t="shared" si="4"/>
        <v>13.260570380350535</v>
      </c>
      <c r="G42" s="30">
        <v>0.16722453300695256</v>
      </c>
      <c r="H42" s="73">
        <f t="shared" si="5"/>
        <v>0.23157023184423509</v>
      </c>
      <c r="I42" s="110">
        <f t="shared" si="2"/>
        <v>47.722744687720223</v>
      </c>
    </row>
    <row r="43" spans="1:44" s="24" customFormat="1" x14ac:dyDescent="0.25">
      <c r="B43" s="160">
        <v>30</v>
      </c>
      <c r="C43" s="35">
        <v>1.9942744608757012E-2</v>
      </c>
      <c r="D43" s="74">
        <f t="shared" si="3"/>
        <v>6.4172197998475539E-2</v>
      </c>
      <c r="E43" s="65">
        <v>206.51039850100676</v>
      </c>
      <c r="F43" s="30">
        <f t="shared" si="4"/>
        <v>13.252226181350691</v>
      </c>
      <c r="G43" s="30">
        <v>0.16660216221785279</v>
      </c>
      <c r="H43" s="73">
        <f t="shared" si="5"/>
        <v>0.23077436021632833</v>
      </c>
      <c r="I43" s="110">
        <f t="shared" si="2"/>
        <v>47.657305092088841</v>
      </c>
    </row>
    <row r="44" spans="1:44" s="24" customFormat="1" x14ac:dyDescent="0.25">
      <c r="B44" s="160">
        <v>31</v>
      </c>
      <c r="C44" s="35">
        <v>1.9891976802260167E-2</v>
      </c>
      <c r="D44" s="74">
        <f t="shared" si="3"/>
        <v>6.4008836244896589E-2</v>
      </c>
      <c r="E44" s="65">
        <v>206.9465467596745</v>
      </c>
      <c r="F44" s="30">
        <f t="shared" si="4"/>
        <v>13.24640762298684</v>
      </c>
      <c r="G44" s="30">
        <v>0.16600715973025054</v>
      </c>
      <c r="H44" s="73">
        <f t="shared" si="5"/>
        <v>0.23001599597514713</v>
      </c>
      <c r="I44" s="110">
        <f t="shared" si="2"/>
        <v>47.601016066543892</v>
      </c>
    </row>
    <row r="45" spans="1:44" s="24" customFormat="1" x14ac:dyDescent="0.25">
      <c r="B45" s="160">
        <v>32</v>
      </c>
      <c r="C45" s="35">
        <v>1.984428211998427E-2</v>
      </c>
      <c r="D45" s="74">
        <f t="shared" si="3"/>
        <v>6.3855363257375133E-2</v>
      </c>
      <c r="E45" s="65">
        <v>207.39039085574089</v>
      </c>
      <c r="F45" s="30">
        <f t="shared" si="4"/>
        <v>13.242988744182345</v>
      </c>
      <c r="G45" s="30">
        <v>0.16543896104948505</v>
      </c>
      <c r="H45" s="73">
        <f t="shared" si="5"/>
        <v>0.2292943243068602</v>
      </c>
      <c r="I45" s="110">
        <f t="shared" si="2"/>
        <v>47.553439539002746</v>
      </c>
    </row>
    <row r="46" spans="1:44" s="24" customFormat="1" x14ac:dyDescent="0.25">
      <c r="B46" s="160">
        <v>33</v>
      </c>
      <c r="C46" s="35">
        <v>1.9799588188020988E-2</v>
      </c>
      <c r="D46" s="74">
        <f t="shared" si="3"/>
        <v>6.3711546149572487E-2</v>
      </c>
      <c r="E46" s="65">
        <v>207.84050535036229</v>
      </c>
      <c r="F46" s="30">
        <f t="shared" si="4"/>
        <v>13.241839948380075</v>
      </c>
      <c r="G46" s="30">
        <v>0.16489703011758328</v>
      </c>
      <c r="H46" s="73">
        <f t="shared" si="5"/>
        <v>0.22860857626715575</v>
      </c>
      <c r="I46" s="110">
        <f t="shared" si="2"/>
        <v>47.514122018792492</v>
      </c>
    </row>
    <row r="47" spans="1:44" s="24" customFormat="1" x14ac:dyDescent="0.25">
      <c r="B47" s="160">
        <v>34</v>
      </c>
      <c r="C47" s="35">
        <v>1.975782775042911E-2</v>
      </c>
      <c r="D47" s="74">
        <f t="shared" si="3"/>
        <v>6.3577168503856044E-2</v>
      </c>
      <c r="E47" s="65">
        <v>208.29534538071474</v>
      </c>
      <c r="F47" s="30">
        <f t="shared" si="4"/>
        <v>13.242828271838594</v>
      </c>
      <c r="G47" s="30">
        <v>0.16438085909325875</v>
      </c>
      <c r="H47" s="73">
        <f t="shared" si="5"/>
        <v>0.22795802759711481</v>
      </c>
      <c r="I47" s="110">
        <f t="shared" si="2"/>
        <v>47.482596090647533</v>
      </c>
    </row>
    <row r="48" spans="1:44" s="24" customFormat="1" x14ac:dyDescent="0.25">
      <c r="B48" s="160">
        <v>35</v>
      </c>
      <c r="C48" s="35">
        <v>1.9718938395965079E-2</v>
      </c>
      <c r="D48" s="74">
        <f t="shared" si="3"/>
        <v>6.3452029491966849E-2</v>
      </c>
      <c r="E48" s="65">
        <v>208.75325400740795</v>
      </c>
      <c r="F48" s="30">
        <f t="shared" si="4"/>
        <v>13.245817629822096</v>
      </c>
      <c r="G48" s="30">
        <v>0.16388996813204912</v>
      </c>
      <c r="H48" s="73">
        <f t="shared" si="5"/>
        <v>0.22734199762401597</v>
      </c>
      <c r="I48" s="110">
        <f t="shared" si="2"/>
        <v>47.458381776557736</v>
      </c>
    </row>
    <row r="49" spans="1:44" s="24" customFormat="1" x14ac:dyDescent="0.25">
      <c r="B49" s="160">
        <v>36</v>
      </c>
      <c r="C49" s="35">
        <v>1.9682862308979272E-2</v>
      </c>
      <c r="D49" s="74">
        <f t="shared" si="3"/>
        <v>6.3335943073448156E-2</v>
      </c>
      <c r="E49" s="65">
        <v>209.21246925481626</v>
      </c>
      <c r="F49" s="30">
        <f t="shared" si="4"/>
        <v>13.250669042978565</v>
      </c>
      <c r="G49" s="30">
        <v>0.1634239051668861</v>
      </c>
      <c r="H49" s="73">
        <f t="shared" si="5"/>
        <v>0.22675984824033424</v>
      </c>
      <c r="I49" s="110">
        <f t="shared" si="2"/>
        <v>47.440987778207727</v>
      </c>
    </row>
    <row r="50" spans="1:44" s="24" customFormat="1" x14ac:dyDescent="0.25">
      <c r="B50" s="160">
        <v>37</v>
      </c>
      <c r="C50" s="35">
        <v>1.9649546042511262E-2</v>
      </c>
      <c r="D50" s="74">
        <f t="shared" si="3"/>
        <v>6.322873726550654E-2</v>
      </c>
      <c r="E50" s="65">
        <v>209.67113086964102</v>
      </c>
      <c r="F50" s="30">
        <f t="shared" si="4"/>
        <v>13.257240845918171</v>
      </c>
      <c r="G50" s="30">
        <v>0.16298224568917796</v>
      </c>
      <c r="H50" s="73">
        <f t="shared" si="5"/>
        <v>0.2262109829546845</v>
      </c>
      <c r="I50" s="110">
        <f t="shared" si="2"/>
        <v>47.429912611241789</v>
      </c>
    </row>
    <row r="51" spans="1:44" s="24" customFormat="1" x14ac:dyDescent="0.25">
      <c r="B51" s="160">
        <v>38</v>
      </c>
      <c r="C51" s="35">
        <v>1.9618940311823513E-2</v>
      </c>
      <c r="D51" s="74">
        <f t="shared" si="3"/>
        <v>6.3130253478640028E-2</v>
      </c>
      <c r="E51" s="65">
        <v>210.12728682073546</v>
      </c>
      <c r="F51" s="30">
        <f t="shared" si="4"/>
        <v>13.265388879771926</v>
      </c>
      <c r="G51" s="30">
        <v>0.16256459253042926</v>
      </c>
      <c r="H51" s="73">
        <f t="shared" si="5"/>
        <v>0.22569484600906931</v>
      </c>
      <c r="I51" s="110">
        <f t="shared" si="2"/>
        <v>47.424645641309425</v>
      </c>
    </row>
    <row r="52" spans="1:44" s="24" customFormat="1" x14ac:dyDescent="0.25">
      <c r="B52" s="160">
        <v>39</v>
      </c>
      <c r="C52" s="35">
        <v>1.9590999806800707E-2</v>
      </c>
      <c r="D52" s="74">
        <f t="shared" si="3"/>
        <v>6.3040345912972584E-2</v>
      </c>
      <c r="E52" s="65">
        <v>210.57889956120306</v>
      </c>
      <c r="F52" s="30">
        <f t="shared" si="4"/>
        <v>13.274966670311352</v>
      </c>
      <c r="G52" s="30">
        <v>0.16217057564440351</v>
      </c>
      <c r="H52" s="73">
        <f t="shared" si="5"/>
        <v>0.2252109215573761</v>
      </c>
      <c r="I52" s="110">
        <f t="shared" si="2"/>
        <v>47.424668030716681</v>
      </c>
    </row>
    <row r="53" spans="1:44" s="24" customFormat="1" x14ac:dyDescent="0.25">
      <c r="B53" s="160">
        <v>40</v>
      </c>
      <c r="C53" s="35">
        <v>1.9565683021810217E-2</v>
      </c>
      <c r="D53" s="74">
        <f t="shared" si="3"/>
        <v>6.2958881010775458E-2</v>
      </c>
      <c r="E53" s="65">
        <v>211.02385207200075</v>
      </c>
      <c r="F53" s="30">
        <f t="shared" si="4"/>
        <v>13.285825593036577</v>
      </c>
      <c r="G53" s="30">
        <v>0.16179985188983029</v>
      </c>
      <c r="H53" s="73">
        <f t="shared" si="5"/>
        <v>0.22475873290060575</v>
      </c>
      <c r="I53" s="110">
        <f t="shared" si="2"/>
        <v>47.429453603507753</v>
      </c>
    </row>
    <row r="54" spans="1:44" s="24" customFormat="1" x14ac:dyDescent="0.25">
      <c r="B54" s="160">
        <v>41</v>
      </c>
      <c r="C54" s="35">
        <v>1.9542952101772103E-2</v>
      </c>
      <c r="D54" s="74">
        <f t="shared" si="3"/>
        <v>6.2885736961147867E-2</v>
      </c>
      <c r="E54" s="65">
        <v>211.45995370469083</v>
      </c>
      <c r="F54" s="30">
        <f t="shared" si="4"/>
        <v>13.297815026489694</v>
      </c>
      <c r="G54" s="30">
        <v>0.16145210481365829</v>
      </c>
      <c r="H54" s="73">
        <f t="shared" si="5"/>
        <v>0.22433784177480615</v>
      </c>
      <c r="I54" s="110">
        <f t="shared" si="2"/>
        <v>47.438469635910764</v>
      </c>
    </row>
    <row r="55" spans="1:44" s="24" customFormat="1" x14ac:dyDescent="0.25">
      <c r="B55" s="160">
        <v>42</v>
      </c>
      <c r="C55" s="35">
        <v>1.9522772703323553E-2</v>
      </c>
      <c r="D55" s="74">
        <f t="shared" si="3"/>
        <v>6.2820803253268873E-2</v>
      </c>
      <c r="E55" s="65">
        <v>211.88494583957177</v>
      </c>
      <c r="F55" s="30">
        <f t="shared" si="4"/>
        <v>13.31078249491727</v>
      </c>
      <c r="G55" s="30">
        <v>0.16112704443485343</v>
      </c>
      <c r="H55" s="73">
        <f t="shared" si="5"/>
        <v>0.22394784768812231</v>
      </c>
      <c r="I55" s="110">
        <f t="shared" si="2"/>
        <v>47.451177578286462</v>
      </c>
    </row>
    <row r="56" spans="1:44" s="24" customFormat="1" x14ac:dyDescent="0.25">
      <c r="B56" s="160">
        <v>43</v>
      </c>
      <c r="C56" s="35">
        <v>1.9505113870087843E-2</v>
      </c>
      <c r="D56" s="74">
        <f t="shared" si="3"/>
        <v>6.2763980275035144E-2</v>
      </c>
      <c r="E56" s="65">
        <v>212.29650737416154</v>
      </c>
      <c r="F56" s="30">
        <f t="shared" si="4"/>
        <v>13.324573801290727</v>
      </c>
      <c r="G56" s="30">
        <v>0.16082440702874232</v>
      </c>
      <c r="H56" s="73">
        <f t="shared" si="5"/>
        <v>0.22358838730377745</v>
      </c>
      <c r="I56" s="110">
        <f t="shared" si="2"/>
        <v>47.467033714013276</v>
      </c>
    </row>
    <row r="57" spans="1:44" s="24" customFormat="1" x14ac:dyDescent="0.25">
      <c r="B57" s="160">
        <v>44</v>
      </c>
      <c r="C57" s="35">
        <v>1.9489947921170016E-2</v>
      </c>
      <c r="D57" s="74">
        <f t="shared" si="3"/>
        <v>6.2715178954259959E-2</v>
      </c>
      <c r="E57" s="65">
        <v>212.69226005587601</v>
      </c>
      <c r="F57" s="30">
        <f t="shared" si="4"/>
        <v>13.339033151590261</v>
      </c>
      <c r="G57" s="30">
        <v>0.16054395491190199</v>
      </c>
      <c r="H57" s="73">
        <f t="shared" si="5"/>
        <v>0.22325913386616195</v>
      </c>
      <c r="I57" s="110">
        <f t="shared" si="2"/>
        <v>47.485489760111349</v>
      </c>
    </row>
    <row r="58" spans="1:44" s="24" customFormat="1" x14ac:dyDescent="0.25">
      <c r="B58" s="160">
        <v>45</v>
      </c>
      <c r="C58" s="35">
        <v>1.9477250352104829E-2</v>
      </c>
      <c r="D58" s="74">
        <f t="shared" si="3"/>
        <v>6.2674320439941283E-2</v>
      </c>
      <c r="E58" s="65">
        <v>213.06977367174778</v>
      </c>
      <c r="F58" s="30">
        <f t="shared" si="4"/>
        <v>13.354003271168885</v>
      </c>
      <c r="G58" s="30">
        <v>0.16028547622759473</v>
      </c>
      <c r="H58" s="73">
        <f t="shared" si="5"/>
        <v>0.22295979666753601</v>
      </c>
      <c r="I58" s="110">
        <f t="shared" si="2"/>
        <v>47.505993413850803</v>
      </c>
    </row>
    <row r="59" spans="1:44" s="24" customFormat="1" x14ac:dyDescent="0.25">
      <c r="B59" s="160">
        <v>46</v>
      </c>
      <c r="C59" s="35">
        <v>1.9466999747576423E-2</v>
      </c>
      <c r="D59" s="74">
        <f t="shared" si="3"/>
        <v>6.264133582140928E-2</v>
      </c>
      <c r="E59" s="65">
        <v>213.42657110712611</v>
      </c>
      <c r="F59" s="30">
        <f t="shared" si="4"/>
        <v>13.369325513933374</v>
      </c>
      <c r="G59" s="30">
        <v>0.16004878473174819</v>
      </c>
      <c r="H59" s="73">
        <f t="shared" si="5"/>
        <v>0.22269012055315746</v>
      </c>
      <c r="I59" s="110">
        <f t="shared" si="2"/>
        <v>47.527988849092942</v>
      </c>
    </row>
    <row r="60" spans="1:44" s="24" customFormat="1" x14ac:dyDescent="0.25">
      <c r="B60" s="160">
        <v>47</v>
      </c>
      <c r="C60" s="35">
        <v>1.9459177705316001E-2</v>
      </c>
      <c r="D60" s="74">
        <f t="shared" si="3"/>
        <v>6.2616165883442584E-2</v>
      </c>
      <c r="E60" s="65">
        <v>213.76013328450242</v>
      </c>
      <c r="F60" s="30">
        <f t="shared" si="4"/>
        <v>13.384839965009199</v>
      </c>
      <c r="G60" s="30">
        <v>0.15983371957948161</v>
      </c>
      <c r="H60" s="73">
        <f t="shared" si="5"/>
        <v>0.22244988546292421</v>
      </c>
      <c r="I60" s="110">
        <f t="shared" si="2"/>
        <v>47.550917165676978</v>
      </c>
    </row>
    <row r="61" spans="1:44" s="24" customFormat="1" x14ac:dyDescent="0.25">
      <c r="B61" s="160">
        <v>48</v>
      </c>
      <c r="C61" s="35">
        <v>1.9453768770663904E-2</v>
      </c>
      <c r="D61" s="74">
        <f t="shared" si="3"/>
        <v>6.2598760895700684E-2</v>
      </c>
      <c r="E61" s="65">
        <v>214.06790399289005</v>
      </c>
      <c r="F61" s="30">
        <f t="shared" si="4"/>
        <v>13.400385537494733</v>
      </c>
      <c r="G61" s="30">
        <v>0.1596401451121772</v>
      </c>
      <c r="H61" s="73">
        <f t="shared" si="5"/>
        <v>0.22223890600787788</v>
      </c>
      <c r="I61" s="110">
        <f t="shared" si="2"/>
        <v>47.574216794779318</v>
      </c>
    </row>
    <row r="62" spans="1:44" s="167" customFormat="1" x14ac:dyDescent="0.25">
      <c r="A62" s="24"/>
      <c r="B62" s="156">
        <v>49</v>
      </c>
      <c r="C62" s="99">
        <v>1.945076038135693E-2</v>
      </c>
      <c r="D62" s="107">
        <f t="shared" si="3"/>
        <v>6.2589080435059438E-2</v>
      </c>
      <c r="E62" s="80">
        <v>214.34729461754796</v>
      </c>
      <c r="F62" s="100">
        <f t="shared" si="4"/>
        <v>13.415800063855093</v>
      </c>
      <c r="G62" s="100">
        <v>0.15946795064509739</v>
      </c>
      <c r="H62" s="105">
        <f t="shared" si="5"/>
        <v>0.22205703108015684</v>
      </c>
      <c r="I62" s="109">
        <f t="shared" si="2"/>
        <v>47.597323862836383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</row>
    <row r="63" spans="1:44" s="167" customFormat="1" x14ac:dyDescent="0.25">
      <c r="A63" s="24"/>
      <c r="B63" s="156">
        <v>50</v>
      </c>
      <c r="C63" s="99">
        <v>1.9450142822171709E-2</v>
      </c>
      <c r="D63" s="107">
        <f t="shared" si="3"/>
        <v>6.2587093239661454E-2</v>
      </c>
      <c r="E63" s="80">
        <v>214.59568877927319</v>
      </c>
      <c r="F63" s="100">
        <f t="shared" si="4"/>
        <v>13.430920382457742</v>
      </c>
      <c r="G63" s="100">
        <v>0.1593170502555471</v>
      </c>
      <c r="H63" s="105">
        <f t="shared" si="5"/>
        <v>0.22190414349520854</v>
      </c>
      <c r="I63" s="109">
        <f t="shared" si="2"/>
        <v>47.619672516328947</v>
      </c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</row>
    <row r="64" spans="1:44" s="24" customFormat="1" x14ac:dyDescent="0.25">
      <c r="B64" s="160">
        <v>51</v>
      </c>
      <c r="C64" s="35">
        <v>1.9451909189120955E-2</v>
      </c>
      <c r="D64" s="74">
        <f t="shared" si="3"/>
        <v>6.2592777093706045E-2</v>
      </c>
      <c r="E64" s="65">
        <v>214.81044689198521</v>
      </c>
      <c r="F64" s="30">
        <f t="shared" si="4"/>
        <v>13.44558241970941</v>
      </c>
      <c r="G64" s="30">
        <v>0.15918738257158227</v>
      </c>
      <c r="H64" s="73">
        <f t="shared" si="5"/>
        <v>0.2217801596652883</v>
      </c>
      <c r="I64" s="110">
        <f t="shared" si="2"/>
        <v>47.640695209476412</v>
      </c>
    </row>
    <row r="65" spans="2:9" s="24" customFormat="1" x14ac:dyDescent="0.25">
      <c r="B65" s="160">
        <v>52</v>
      </c>
      <c r="C65" s="35">
        <v>1.9456055362961577E-2</v>
      </c>
      <c r="D65" s="74">
        <f t="shared" si="3"/>
        <v>6.2606118742203093E-2</v>
      </c>
      <c r="E65" s="65">
        <v>214.98891064687695</v>
      </c>
      <c r="F65" s="30">
        <f t="shared" si="4"/>
        <v>13.459621268215269</v>
      </c>
      <c r="G65" s="30">
        <v>0.1590789105612633</v>
      </c>
      <c r="H65" s="73">
        <f t="shared" si="5"/>
        <v>0.2216850293034664</v>
      </c>
      <c r="I65" s="110">
        <f t="shared" si="2"/>
        <v>47.659822956673231</v>
      </c>
    </row>
    <row r="66" spans="2:9" s="24" customFormat="1" x14ac:dyDescent="0.25">
      <c r="B66" s="160">
        <v>53</v>
      </c>
      <c r="C66" s="35">
        <v>1.9462579991834428E-2</v>
      </c>
      <c r="D66" s="74">
        <f t="shared" si="3"/>
        <v>6.2627113835110784E-2</v>
      </c>
      <c r="E66" s="65">
        <v>215.12840743102188</v>
      </c>
      <c r="F66" s="30">
        <f t="shared" si="4"/>
        <v>13.472871261348701</v>
      </c>
      <c r="G66" s="30">
        <v>0.15899162132245453</v>
      </c>
      <c r="H66" s="73">
        <f t="shared" si="5"/>
        <v>0.22161873515756531</v>
      </c>
      <c r="I66" s="110">
        <f t="shared" si="2"/>
        <v>47.67648555132444</v>
      </c>
    </row>
    <row r="67" spans="2:9" s="24" customFormat="1" x14ac:dyDescent="0.25">
      <c r="B67" s="160">
        <v>54</v>
      </c>
      <c r="C67" s="35">
        <v>1.9471484482912974E-2</v>
      </c>
      <c r="D67" s="74">
        <f t="shared" si="3"/>
        <v>6.2655766900462539E-2</v>
      </c>
      <c r="E67" s="65">
        <v>215.2262546879802</v>
      </c>
      <c r="F67" s="30">
        <f t="shared" si="4"/>
        <v>13.48516604458967</v>
      </c>
      <c r="G67" s="30">
        <v>0.15892552587316894</v>
      </c>
      <c r="H67" s="73">
        <f t="shared" si="5"/>
        <v>0.22158129277363148</v>
      </c>
      <c r="I67" s="110">
        <f t="shared" si="2"/>
        <v>47.690111752589516</v>
      </c>
    </row>
    <row r="68" spans="2:9" s="24" customFormat="1" x14ac:dyDescent="0.25">
      <c r="B68" s="160">
        <v>55</v>
      </c>
      <c r="C68" s="35">
        <v>1.9482773002995276E-2</v>
      </c>
      <c r="D68" s="74">
        <f t="shared" si="3"/>
        <v>6.2692091346271933E-2</v>
      </c>
      <c r="E68" s="65">
        <v>215.27976422765701</v>
      </c>
      <c r="F68" s="30">
        <f t="shared" si="4"/>
        <v>13.496338643964158</v>
      </c>
      <c r="G68" s="30">
        <v>0.15888065894245845</v>
      </c>
      <c r="H68" s="73">
        <f t="shared" si="5"/>
        <v>0.22157275028873039</v>
      </c>
      <c r="I68" s="110">
        <f t="shared" si="2"/>
        <v>47.7001294414314</v>
      </c>
    </row>
    <row r="69" spans="2:9" s="24" customFormat="1" x14ac:dyDescent="0.25">
      <c r="B69" s="160">
        <v>56</v>
      </c>
      <c r="C69" s="35">
        <v>1.9496452488029638E-2</v>
      </c>
      <c r="D69" s="74">
        <f t="shared" si="3"/>
        <v>6.273610949118448E-2</v>
      </c>
      <c r="E69" s="65">
        <v>215.28624649240643</v>
      </c>
      <c r="F69" s="30">
        <f t="shared" si="4"/>
        <v>13.506221531893742</v>
      </c>
      <c r="G69" s="30">
        <v>0.15885707876184987</v>
      </c>
      <c r="H69" s="73">
        <f t="shared" si="5"/>
        <v>0.22159318825303437</v>
      </c>
      <c r="I69" s="110">
        <f t="shared" si="2"/>
        <v>47.705965747280977</v>
      </c>
    </row>
    <row r="70" spans="2:9" s="24" customFormat="1" x14ac:dyDescent="0.25">
      <c r="B70" s="160">
        <v>57</v>
      </c>
      <c r="C70" s="35">
        <v>1.9512532661619952E-2</v>
      </c>
      <c r="D70" s="74">
        <f t="shared" si="3"/>
        <v>6.2787852624024601E-2</v>
      </c>
      <c r="E70" s="65">
        <v>215.24301478616854</v>
      </c>
      <c r="F70" s="30">
        <f t="shared" si="4"/>
        <v>13.514646690744698</v>
      </c>
      <c r="G70" s="30">
        <v>0.1588548668573265</v>
      </c>
      <c r="H70" s="73">
        <f t="shared" si="5"/>
        <v>0.22164271948135111</v>
      </c>
      <c r="I70" s="110">
        <f t="shared" si="2"/>
        <v>47.707047146571064</v>
      </c>
    </row>
    <row r="71" spans="2:9" s="24" customFormat="1" x14ac:dyDescent="0.25">
      <c r="B71" s="156">
        <v>58</v>
      </c>
      <c r="C71" s="99">
        <v>1.9531026062612939E-2</v>
      </c>
      <c r="D71" s="107">
        <f t="shared" si="3"/>
        <v>6.2847361092566389E-2</v>
      </c>
      <c r="E71" s="80">
        <v>215.1473894732498</v>
      </c>
      <c r="F71" s="100">
        <f t="shared" si="4"/>
        <v>13.521445674348348</v>
      </c>
      <c r="G71" s="100">
        <v>0.15887412784185501</v>
      </c>
      <c r="H71" s="105">
        <f t="shared" si="5"/>
        <v>0.2217214889344214</v>
      </c>
      <c r="I71" s="109">
        <f t="shared" si="2"/>
        <v>47.702799534362804</v>
      </c>
    </row>
    <row r="72" spans="2:9" s="24" customFormat="1" x14ac:dyDescent="0.25">
      <c r="B72" s="160">
        <v>59</v>
      </c>
      <c r="C72" s="35">
        <v>1.9551948081926653E-2</v>
      </c>
      <c r="D72" s="74">
        <f t="shared" si="3"/>
        <v>6.2914684422041206E-2</v>
      </c>
      <c r="E72" s="65">
        <v>214.99670215321802</v>
      </c>
      <c r="F72" s="30">
        <f t="shared" si="4"/>
        <v>13.526449667749299</v>
      </c>
      <c r="G72" s="30">
        <v>0.15891498920845809</v>
      </c>
      <c r="H72" s="73">
        <f t="shared" si="5"/>
        <v>0.2218296736304993</v>
      </c>
      <c r="I72" s="110">
        <f t="shared" si="2"/>
        <v>47.692648270282021</v>
      </c>
    </row>
    <row r="73" spans="2:9" s="24" customFormat="1" ht="15.75" customHeight="1" x14ac:dyDescent="0.25">
      <c r="B73" s="156">
        <v>59.983333333333299</v>
      </c>
      <c r="C73" s="99">
        <v>1.9575317008837804E-2</v>
      </c>
      <c r="D73" s="107">
        <f t="shared" si="3"/>
        <v>6.2989881464082048E-2</v>
      </c>
      <c r="E73" s="80">
        <v>214.78829981828434</v>
      </c>
      <c r="F73" s="100">
        <f>D73*E73</f>
        <v>13.529489545425447</v>
      </c>
      <c r="G73" s="100">
        <v>0.1589776011238323</v>
      </c>
      <c r="H73" s="105">
        <f>D73+G73</f>
        <v>0.22196748258791435</v>
      </c>
      <c r="I73" s="109">
        <f>H73*E73</f>
        <v>47.676018200002758</v>
      </c>
    </row>
    <row r="74" spans="2:9" s="24" customFormat="1" x14ac:dyDescent="0.25">
      <c r="D74" s="26"/>
      <c r="I74" s="2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77"/>
  <sheetViews>
    <sheetView zoomScale="90" zoomScaleNormal="90" workbookViewId="0">
      <selection activeCell="K30" sqref="A1:XFD1048576"/>
    </sheetView>
  </sheetViews>
  <sheetFormatPr defaultRowHeight="15.75" x14ac:dyDescent="0.25"/>
  <cols>
    <col min="1" max="1" width="9.140625" style="3"/>
    <col min="2" max="2" width="31.28515625" style="3" customWidth="1"/>
    <col min="3" max="3" width="54.140625" style="2" customWidth="1"/>
    <col min="4" max="4" width="23.5703125" style="3" bestFit="1" customWidth="1"/>
    <col min="5" max="5" width="20.7109375" style="3" customWidth="1"/>
    <col min="6" max="6" width="7" style="3" customWidth="1"/>
    <col min="7" max="9" width="9.140625" style="3" customWidth="1"/>
    <col min="10" max="16384" width="9.140625" style="3"/>
  </cols>
  <sheetData>
    <row r="1" spans="2:5" ht="22.5" customHeight="1" x14ac:dyDescent="0.25">
      <c r="B1" s="319" t="s">
        <v>72</v>
      </c>
      <c r="C1" s="320"/>
      <c r="D1" s="320"/>
      <c r="E1" s="321"/>
    </row>
    <row r="2" spans="2:5" x14ac:dyDescent="0.25">
      <c r="B2" s="8"/>
      <c r="C2" s="11"/>
      <c r="D2" s="11"/>
      <c r="E2" s="8" t="s">
        <v>13</v>
      </c>
    </row>
    <row r="3" spans="2:5" x14ac:dyDescent="0.25">
      <c r="B3" s="8" t="s">
        <v>90</v>
      </c>
      <c r="C3" s="11" t="s">
        <v>92</v>
      </c>
      <c r="D3" s="316" t="s">
        <v>91</v>
      </c>
      <c r="E3" s="8">
        <v>162.15</v>
      </c>
    </row>
    <row r="4" spans="2:5" ht="31.5" x14ac:dyDescent="0.25">
      <c r="B4" s="8" t="s">
        <v>4</v>
      </c>
      <c r="C4" s="11" t="s">
        <v>5</v>
      </c>
      <c r="D4" s="317"/>
      <c r="E4" s="11">
        <v>11.2536</v>
      </c>
    </row>
    <row r="5" spans="2:5" x14ac:dyDescent="0.25">
      <c r="B5" s="8" t="s">
        <v>6</v>
      </c>
      <c r="C5" s="11" t="s">
        <v>7</v>
      </c>
      <c r="D5" s="317"/>
      <c r="E5" s="11">
        <v>0.13500000000000001</v>
      </c>
    </row>
    <row r="6" spans="2:5" x14ac:dyDescent="0.25">
      <c r="B6" s="8" t="s">
        <v>8</v>
      </c>
      <c r="C6" s="11" t="s">
        <v>9</v>
      </c>
      <c r="D6" s="318"/>
      <c r="E6" s="8">
        <v>1.1000000000000001</v>
      </c>
    </row>
    <row r="7" spans="2:5" ht="30" customHeight="1" x14ac:dyDescent="0.25">
      <c r="B7" s="11" t="s">
        <v>17</v>
      </c>
      <c r="C7" s="11" t="s">
        <v>89</v>
      </c>
      <c r="D7" s="11"/>
      <c r="E7" s="173">
        <v>151</v>
      </c>
    </row>
    <row r="8" spans="2:5" ht="30" customHeight="1" x14ac:dyDescent="0.25">
      <c r="B8" s="174" t="s">
        <v>252</v>
      </c>
      <c r="C8" s="175" t="s">
        <v>254</v>
      </c>
      <c r="D8" s="176" t="s">
        <v>223</v>
      </c>
      <c r="E8" s="177">
        <f>162.15 - 2 * (162.15 - 151) / (EXP(0.135 * (1 - 11.2536)) + EXP(1.27 * (1- 11.2536)))</f>
        <v>73.134202609885094</v>
      </c>
    </row>
    <row r="9" spans="2:5" ht="30" customHeight="1" x14ac:dyDescent="0.25">
      <c r="B9" s="174" t="s">
        <v>253</v>
      </c>
      <c r="C9" s="175" t="s">
        <v>255</v>
      </c>
      <c r="D9" s="178" t="s">
        <v>224</v>
      </c>
      <c r="E9" s="177">
        <f>162.15 * (1 - 1 / (1 + ((1+ 0.75) / 2.3)^0.7))</f>
        <v>73.343525168957868</v>
      </c>
    </row>
    <row r="10" spans="2:5" ht="30" customHeight="1" x14ac:dyDescent="0.25">
      <c r="B10" s="179"/>
      <c r="C10" s="180"/>
    </row>
    <row r="11" spans="2:5" ht="30" customHeight="1" x14ac:dyDescent="0.25">
      <c r="B11" s="314" t="s">
        <v>146</v>
      </c>
      <c r="C11" s="315"/>
      <c r="D11" s="315"/>
      <c r="E11" s="181"/>
    </row>
    <row r="12" spans="2:5" ht="20.25" customHeight="1" x14ac:dyDescent="0.25">
      <c r="B12" s="182" t="s">
        <v>15</v>
      </c>
      <c r="C12" s="182" t="s">
        <v>16</v>
      </c>
      <c r="D12" s="182" t="s">
        <v>18</v>
      </c>
      <c r="E12" s="57" t="s">
        <v>239</v>
      </c>
    </row>
    <row r="13" spans="2:5" ht="21.75" customHeight="1" x14ac:dyDescent="0.25">
      <c r="B13" s="183">
        <v>0.5</v>
      </c>
      <c r="C13" s="184"/>
      <c r="D13" s="185">
        <f>162.15 * (1 - 1 / (1 + ((B13 + 0.75) / 2.3)^0.7)) * 73.13/ 73.34</f>
        <v>63.846796951283025</v>
      </c>
      <c r="E13" s="4"/>
    </row>
    <row r="14" spans="2:5" ht="42" customHeight="1" x14ac:dyDescent="0.25">
      <c r="B14" s="144">
        <v>1</v>
      </c>
      <c r="C14" s="130" t="s">
        <v>225</v>
      </c>
      <c r="D14" s="114">
        <f>162.15 * (1 - 1 / (1 + ((B14 + 0.75) / 2.3)^0.7)) * 73.13/ 73.34</f>
        <v>73.133515075073461</v>
      </c>
      <c r="E14" s="4"/>
    </row>
    <row r="15" spans="2:5" x14ac:dyDescent="0.25">
      <c r="B15" s="186">
        <v>1.5</v>
      </c>
      <c r="C15" s="187"/>
      <c r="D15" s="172">
        <f>162.15 * (1 - 1 / (1 + ((B15 + 0.75) / 2.3)^0.7)) * 73.13/ 73.34</f>
        <v>80.220970928634003</v>
      </c>
      <c r="E15" s="4"/>
    </row>
    <row r="16" spans="2:5" ht="19.5" customHeight="1" x14ac:dyDescent="0.25">
      <c r="B16" s="186">
        <v>2</v>
      </c>
      <c r="C16" s="187"/>
      <c r="D16" s="172">
        <f>162.15 * (1 - 1 / (1 + ((B16 + 0.75) / 2.3)^0.7)) * 73.13/ 73.34</f>
        <v>85.8923535915862</v>
      </c>
      <c r="E16" s="188">
        <v>90.9</v>
      </c>
    </row>
    <row r="17" spans="2:5" ht="20.25" customHeight="1" x14ac:dyDescent="0.25">
      <c r="B17" s="186">
        <v>3</v>
      </c>
      <c r="C17" s="167"/>
      <c r="D17" s="172">
        <f>162.15 * (1 - 1 / (1 + ((B17 + 0.75) / 2.3)^0.7)) * 73.13/ 73.34</f>
        <v>94.541359016210961</v>
      </c>
      <c r="E17" s="188">
        <v>99</v>
      </c>
    </row>
    <row r="18" spans="2:5" ht="35.25" customHeight="1" x14ac:dyDescent="0.25">
      <c r="B18" s="145">
        <v>4</v>
      </c>
      <c r="C18" s="31" t="s">
        <v>226</v>
      </c>
      <c r="D18" s="189">
        <f>162.15 - 2 * (162.15 - 151) / (EXP(0.135 * (B18 - 11.2536)) + EXP(1.27 * (B18 - 11.2536)))</f>
        <v>102.79377912809166</v>
      </c>
      <c r="E18" s="4">
        <v>106.1</v>
      </c>
    </row>
    <row r="19" spans="2:5" ht="35.25" customHeight="1" x14ac:dyDescent="0.25">
      <c r="B19" s="186">
        <v>4.5</v>
      </c>
      <c r="C19" s="187"/>
      <c r="D19" s="172">
        <f>162.15 - 2 * (162.15 - 151) / (EXP(0.135 * (B19 - 11.2536)) + EXP(1.27 * (B19 - 11.2536)))</f>
        <v>106.67935349123725</v>
      </c>
      <c r="E19" s="188">
        <v>113.6</v>
      </c>
    </row>
    <row r="20" spans="2:5" x14ac:dyDescent="0.25">
      <c r="B20" s="186">
        <v>5</v>
      </c>
      <c r="C20" s="187"/>
      <c r="D20" s="172">
        <f>162.15 - 2 * (162.15 - 151) / (EXP(0.135 * (B20 - 11.2536)) + EXP(1.27 * (B20 - 11.2536)))</f>
        <v>110.31860080082637</v>
      </c>
      <c r="E20" s="188">
        <v>113.6</v>
      </c>
    </row>
    <row r="21" spans="2:5" x14ac:dyDescent="0.25">
      <c r="B21" s="186">
        <v>6</v>
      </c>
      <c r="C21" s="187"/>
      <c r="D21" s="172">
        <f>162.15 - 2 * (162.15 - 151) / (EXP(0.135 * (B21 - 11.2536)) + EXP(1.27 * (B21 - 11.2536)))</f>
        <v>116.94293516675691</v>
      </c>
      <c r="E21" s="166">
        <v>118.75</v>
      </c>
    </row>
    <row r="22" spans="2:5" x14ac:dyDescent="0.25">
      <c r="B22" s="145">
        <v>7</v>
      </c>
      <c r="C22" s="31"/>
      <c r="D22" s="189">
        <f t="shared" ref="D22:D76" si="0">162.15 - 2 * (162.15 - 151) / (EXP(0.135 * (B22 - 11.2536)) + EXP(1.27 * (B22 - 11.2536)))</f>
        <v>122.86468769382844</v>
      </c>
      <c r="E22" s="5">
        <v>126</v>
      </c>
    </row>
    <row r="23" spans="2:5" x14ac:dyDescent="0.25">
      <c r="B23" s="145">
        <v>8</v>
      </c>
      <c r="C23" s="31"/>
      <c r="D23" s="189">
        <f t="shared" si="0"/>
        <v>128.39169770546997</v>
      </c>
      <c r="E23" s="5">
        <v>131.85</v>
      </c>
    </row>
    <row r="24" spans="2:5" x14ac:dyDescent="0.25">
      <c r="B24" s="145">
        <v>9</v>
      </c>
      <c r="C24" s="31"/>
      <c r="D24" s="189">
        <f t="shared" si="0"/>
        <v>134.09393224350492</v>
      </c>
      <c r="E24" s="5">
        <v>138.80000000000001</v>
      </c>
    </row>
    <row r="25" spans="2:5" x14ac:dyDescent="0.25">
      <c r="B25" s="145">
        <v>10</v>
      </c>
      <c r="C25" s="31"/>
      <c r="D25" s="189">
        <f t="shared" si="0"/>
        <v>140.86757931933013</v>
      </c>
      <c r="E25" s="5">
        <v>143.9</v>
      </c>
    </row>
    <row r="26" spans="2:5" x14ac:dyDescent="0.25">
      <c r="B26" s="186">
        <v>10.3</v>
      </c>
      <c r="C26" s="187"/>
      <c r="D26" s="172">
        <f t="shared" si="0"/>
        <v>143.20487522685559</v>
      </c>
      <c r="E26" s="166">
        <v>143.9</v>
      </c>
    </row>
    <row r="27" spans="2:5" x14ac:dyDescent="0.25">
      <c r="B27" s="145">
        <v>11</v>
      </c>
      <c r="C27" s="31"/>
      <c r="D27" s="189">
        <f t="shared" si="0"/>
        <v>148.96245456446943</v>
      </c>
      <c r="E27" s="5">
        <v>151.69999999999999</v>
      </c>
    </row>
    <row r="28" spans="2:5" x14ac:dyDescent="0.25">
      <c r="B28" s="186">
        <v>12</v>
      </c>
      <c r="C28" s="187"/>
      <c r="D28" s="172">
        <f t="shared" si="0"/>
        <v>156.10069388016007</v>
      </c>
      <c r="E28" s="166">
        <v>157.19999999999999</v>
      </c>
    </row>
    <row r="29" spans="2:5" x14ac:dyDescent="0.25">
      <c r="B29" s="186">
        <v>13</v>
      </c>
      <c r="C29" s="187"/>
      <c r="D29" s="172">
        <f t="shared" si="0"/>
        <v>160.01687553922528</v>
      </c>
      <c r="E29" s="166">
        <v>158.6</v>
      </c>
    </row>
    <row r="30" spans="2:5" x14ac:dyDescent="0.25">
      <c r="B30" s="145">
        <v>14</v>
      </c>
      <c r="C30" s="31"/>
      <c r="D30" s="189">
        <f t="shared" si="0"/>
        <v>161.49732203973653</v>
      </c>
      <c r="E30" s="5">
        <v>160.6</v>
      </c>
    </row>
    <row r="31" spans="2:5" x14ac:dyDescent="0.25">
      <c r="B31" s="186">
        <v>15</v>
      </c>
      <c r="C31" s="187"/>
      <c r="D31" s="172">
        <f t="shared" si="0"/>
        <v>161.96127689238583</v>
      </c>
      <c r="E31" s="166">
        <v>161.19999999999999</v>
      </c>
    </row>
    <row r="32" spans="2:5" x14ac:dyDescent="0.25">
      <c r="B32" s="145">
        <v>16</v>
      </c>
      <c r="C32" s="31"/>
      <c r="D32" s="189">
        <f t="shared" si="0"/>
        <v>162.09649102155765</v>
      </c>
      <c r="E32" s="5">
        <v>159.6</v>
      </c>
    </row>
    <row r="33" spans="2:5" x14ac:dyDescent="0.25">
      <c r="B33" s="145">
        <v>17</v>
      </c>
      <c r="C33" s="31"/>
      <c r="D33" s="189">
        <f t="shared" si="0"/>
        <v>162.1349264047526</v>
      </c>
      <c r="E33" s="5">
        <v>162.30000000000001</v>
      </c>
    </row>
    <row r="34" spans="2:5" x14ac:dyDescent="0.25">
      <c r="B34" s="145">
        <v>18</v>
      </c>
      <c r="C34" s="31"/>
      <c r="D34" s="189">
        <f t="shared" si="0"/>
        <v>162.14576263580773</v>
      </c>
      <c r="E34" s="5">
        <v>161.75</v>
      </c>
    </row>
    <row r="35" spans="2:5" x14ac:dyDescent="0.25">
      <c r="B35" s="186">
        <v>19</v>
      </c>
      <c r="C35" s="187"/>
      <c r="D35" s="172">
        <f t="shared" si="0"/>
        <v>162.1488096325391</v>
      </c>
      <c r="E35" s="166">
        <v>162.25</v>
      </c>
    </row>
    <row r="36" spans="2:5" x14ac:dyDescent="0.25">
      <c r="B36" s="186">
        <v>20</v>
      </c>
      <c r="C36" s="187"/>
      <c r="D36" s="172">
        <f t="shared" si="0"/>
        <v>162.14966567271529</v>
      </c>
      <c r="E36" s="166">
        <v>161.9</v>
      </c>
    </row>
    <row r="37" spans="2:5" x14ac:dyDescent="0.25">
      <c r="B37" s="145">
        <v>21</v>
      </c>
      <c r="C37" s="31"/>
      <c r="D37" s="189">
        <f t="shared" si="0"/>
        <v>162.14990610721546</v>
      </c>
      <c r="E37" s="5">
        <v>161.5</v>
      </c>
    </row>
    <row r="38" spans="2:5" x14ac:dyDescent="0.25">
      <c r="B38" s="145">
        <v>22</v>
      </c>
      <c r="C38" s="31"/>
      <c r="D38" s="189">
        <f t="shared" si="0"/>
        <v>162.14997363165622</v>
      </c>
      <c r="E38" s="5">
        <v>164.1</v>
      </c>
    </row>
    <row r="39" spans="2:5" x14ac:dyDescent="0.25">
      <c r="B39" s="145">
        <v>23</v>
      </c>
      <c r="C39" s="31"/>
      <c r="D39" s="189">
        <f t="shared" si="0"/>
        <v>162.14999259490992</v>
      </c>
      <c r="E39" s="5">
        <v>164.2</v>
      </c>
    </row>
    <row r="40" spans="2:5" x14ac:dyDescent="0.25">
      <c r="B40" s="145">
        <v>24</v>
      </c>
      <c r="C40" s="31"/>
      <c r="D40" s="189">
        <f t="shared" si="0"/>
        <v>162.14999792041425</v>
      </c>
      <c r="E40" s="5">
        <v>163.15</v>
      </c>
    </row>
    <row r="41" spans="2:5" x14ac:dyDescent="0.25">
      <c r="B41" s="186">
        <v>25</v>
      </c>
      <c r="C41" s="187"/>
      <c r="D41" s="172">
        <f t="shared" si="0"/>
        <v>162.14999941598637</v>
      </c>
      <c r="E41" s="166">
        <v>161.5</v>
      </c>
    </row>
    <row r="42" spans="2:5" x14ac:dyDescent="0.25">
      <c r="B42" s="145">
        <v>26</v>
      </c>
      <c r="C42" s="31"/>
      <c r="D42" s="189">
        <f t="shared" si="0"/>
        <v>162.14999983599049</v>
      </c>
      <c r="E42" s="5">
        <v>163.19999999999999</v>
      </c>
    </row>
    <row r="43" spans="2:5" x14ac:dyDescent="0.25">
      <c r="B43" s="145">
        <v>27</v>
      </c>
      <c r="C43" s="31"/>
      <c r="D43" s="189">
        <f t="shared" si="0"/>
        <v>162.14999995394095</v>
      </c>
      <c r="E43" s="5">
        <v>162.65</v>
      </c>
    </row>
    <row r="44" spans="2:5" s="23" customFormat="1" x14ac:dyDescent="0.25">
      <c r="B44" s="145">
        <v>28</v>
      </c>
      <c r="C44" s="31"/>
      <c r="D44" s="189">
        <f t="shared" si="0"/>
        <v>162.14999998706517</v>
      </c>
      <c r="E44" s="29">
        <v>161.5</v>
      </c>
    </row>
    <row r="45" spans="2:5" x14ac:dyDescent="0.25">
      <c r="B45" s="145">
        <v>29</v>
      </c>
      <c r="C45" s="31"/>
      <c r="D45" s="189">
        <f t="shared" si="0"/>
        <v>162.14999999636748</v>
      </c>
      <c r="E45" s="5">
        <v>162.5</v>
      </c>
    </row>
    <row r="46" spans="2:5" x14ac:dyDescent="0.25">
      <c r="B46" s="145">
        <v>30</v>
      </c>
      <c r="C46" s="31"/>
      <c r="D46" s="189">
        <f t="shared" si="0"/>
        <v>162.14999999897989</v>
      </c>
      <c r="E46" s="5">
        <v>161.5</v>
      </c>
    </row>
    <row r="47" spans="2:5" x14ac:dyDescent="0.25">
      <c r="B47" s="145">
        <v>31</v>
      </c>
      <c r="C47" s="31"/>
      <c r="D47" s="189">
        <f t="shared" si="0"/>
        <v>162.14999999971351</v>
      </c>
      <c r="E47" s="5">
        <v>161.1</v>
      </c>
    </row>
    <row r="48" spans="2:5" x14ac:dyDescent="0.25">
      <c r="B48" s="145">
        <v>32</v>
      </c>
      <c r="C48" s="31"/>
      <c r="D48" s="189">
        <f t="shared" si="0"/>
        <v>162.14999999991954</v>
      </c>
      <c r="E48" s="5">
        <v>163.4</v>
      </c>
    </row>
    <row r="49" spans="2:5" x14ac:dyDescent="0.25">
      <c r="B49" s="145">
        <v>33</v>
      </c>
      <c r="C49" s="31"/>
      <c r="D49" s="189">
        <f t="shared" si="0"/>
        <v>162.14999999997741</v>
      </c>
      <c r="E49" s="5">
        <v>163.6</v>
      </c>
    </row>
    <row r="50" spans="2:5" x14ac:dyDescent="0.25">
      <c r="B50" s="145">
        <v>34</v>
      </c>
      <c r="C50" s="31"/>
      <c r="D50" s="189">
        <f t="shared" si="0"/>
        <v>162.14999999999367</v>
      </c>
      <c r="E50" s="5">
        <v>163.69999999999999</v>
      </c>
    </row>
    <row r="51" spans="2:5" x14ac:dyDescent="0.25">
      <c r="B51" s="145">
        <v>35</v>
      </c>
      <c r="C51" s="31"/>
      <c r="D51" s="189">
        <f t="shared" si="0"/>
        <v>162.14999999999822</v>
      </c>
      <c r="E51" s="5">
        <v>163.30000000000001</v>
      </c>
    </row>
    <row r="52" spans="2:5" x14ac:dyDescent="0.25">
      <c r="B52" s="145">
        <v>36</v>
      </c>
      <c r="C52" s="31"/>
      <c r="D52" s="189">
        <f t="shared" si="0"/>
        <v>162.14999999999949</v>
      </c>
      <c r="E52" s="5">
        <v>163.65</v>
      </c>
    </row>
    <row r="53" spans="2:5" x14ac:dyDescent="0.25">
      <c r="B53" s="145">
        <v>37</v>
      </c>
      <c r="C53" s="31"/>
      <c r="D53" s="189">
        <f t="shared" si="0"/>
        <v>162.14999999999986</v>
      </c>
      <c r="E53" s="5">
        <v>161.44999999999999</v>
      </c>
    </row>
    <row r="54" spans="2:5" x14ac:dyDescent="0.25">
      <c r="B54" s="145">
        <v>38</v>
      </c>
      <c r="C54" s="31"/>
      <c r="D54" s="189">
        <f t="shared" si="0"/>
        <v>162.14999999999998</v>
      </c>
      <c r="E54" s="5">
        <v>162.85</v>
      </c>
    </row>
    <row r="55" spans="2:5" x14ac:dyDescent="0.25">
      <c r="B55" s="145">
        <v>39</v>
      </c>
      <c r="C55" s="31"/>
      <c r="D55" s="189">
        <f t="shared" si="0"/>
        <v>162.15</v>
      </c>
      <c r="E55" s="5">
        <v>162.19999999999999</v>
      </c>
    </row>
    <row r="56" spans="2:5" x14ac:dyDescent="0.25">
      <c r="B56" s="145">
        <v>40</v>
      </c>
      <c r="C56" s="31"/>
      <c r="D56" s="189">
        <f t="shared" si="0"/>
        <v>162.15</v>
      </c>
      <c r="E56" s="5">
        <v>162</v>
      </c>
    </row>
    <row r="57" spans="2:5" x14ac:dyDescent="0.25">
      <c r="B57" s="145">
        <v>41</v>
      </c>
      <c r="C57" s="31"/>
      <c r="D57" s="189">
        <f t="shared" si="0"/>
        <v>162.15</v>
      </c>
      <c r="E57" s="5">
        <v>162.35</v>
      </c>
    </row>
    <row r="58" spans="2:5" x14ac:dyDescent="0.25">
      <c r="B58" s="145">
        <v>42</v>
      </c>
      <c r="C58" s="31"/>
      <c r="D58" s="189">
        <f t="shared" si="0"/>
        <v>162.15</v>
      </c>
      <c r="E58" s="5">
        <v>162.1</v>
      </c>
    </row>
    <row r="59" spans="2:5" x14ac:dyDescent="0.25">
      <c r="B59" s="145">
        <v>43</v>
      </c>
      <c r="C59" s="31"/>
      <c r="D59" s="189">
        <f t="shared" si="0"/>
        <v>162.15</v>
      </c>
      <c r="E59" s="5">
        <v>161.19999999999999</v>
      </c>
    </row>
    <row r="60" spans="2:5" x14ac:dyDescent="0.25">
      <c r="B60" s="145">
        <v>44</v>
      </c>
      <c r="C60" s="31"/>
      <c r="D60" s="189">
        <f t="shared" si="0"/>
        <v>162.15</v>
      </c>
      <c r="E60" s="5">
        <v>165.1</v>
      </c>
    </row>
    <row r="61" spans="2:5" x14ac:dyDescent="0.25">
      <c r="B61" s="145">
        <v>45</v>
      </c>
      <c r="C61" s="31"/>
      <c r="D61" s="189">
        <f t="shared" si="0"/>
        <v>162.15</v>
      </c>
      <c r="E61" s="5">
        <v>165.2</v>
      </c>
    </row>
    <row r="62" spans="2:5" x14ac:dyDescent="0.25">
      <c r="B62" s="145">
        <v>46</v>
      </c>
      <c r="C62" s="31"/>
      <c r="D62" s="189">
        <f t="shared" si="0"/>
        <v>162.15</v>
      </c>
      <c r="E62" s="5">
        <v>161.15</v>
      </c>
    </row>
    <row r="63" spans="2:5" x14ac:dyDescent="0.25">
      <c r="B63" s="145">
        <v>47</v>
      </c>
      <c r="C63" s="31"/>
      <c r="D63" s="189">
        <f t="shared" si="0"/>
        <v>162.15</v>
      </c>
      <c r="E63" s="5">
        <v>160.75</v>
      </c>
    </row>
    <row r="64" spans="2:5" x14ac:dyDescent="0.25">
      <c r="B64" s="145">
        <v>48</v>
      </c>
      <c r="C64" s="31"/>
      <c r="D64" s="189">
        <f t="shared" si="0"/>
        <v>162.15</v>
      </c>
      <c r="E64" s="5">
        <v>160.80000000000001</v>
      </c>
    </row>
    <row r="65" spans="2:5" x14ac:dyDescent="0.25">
      <c r="B65" s="186">
        <v>49</v>
      </c>
      <c r="C65" s="187"/>
      <c r="D65" s="172">
        <f t="shared" si="0"/>
        <v>162.15</v>
      </c>
      <c r="E65" s="166">
        <v>161.69999999999999</v>
      </c>
    </row>
    <row r="66" spans="2:5" x14ac:dyDescent="0.25">
      <c r="B66" s="186">
        <v>50</v>
      </c>
      <c r="C66" s="187"/>
      <c r="D66" s="172">
        <f t="shared" si="0"/>
        <v>162.15</v>
      </c>
      <c r="E66" s="166">
        <v>160.80000000000001</v>
      </c>
    </row>
    <row r="67" spans="2:5" x14ac:dyDescent="0.25">
      <c r="B67" s="145">
        <v>51</v>
      </c>
      <c r="C67" s="31"/>
      <c r="D67" s="189">
        <f t="shared" si="0"/>
        <v>162.15</v>
      </c>
      <c r="E67" s="5">
        <v>161.80000000000001</v>
      </c>
    </row>
    <row r="68" spans="2:5" x14ac:dyDescent="0.25">
      <c r="B68" s="145">
        <v>52</v>
      </c>
      <c r="C68" s="31"/>
      <c r="D68" s="189">
        <f t="shared" si="0"/>
        <v>162.15</v>
      </c>
      <c r="E68" s="5">
        <v>162.1</v>
      </c>
    </row>
    <row r="69" spans="2:5" x14ac:dyDescent="0.25">
      <c r="B69" s="145">
        <v>53</v>
      </c>
      <c r="C69" s="31"/>
      <c r="D69" s="189">
        <f t="shared" si="0"/>
        <v>162.15</v>
      </c>
      <c r="E69" s="5">
        <v>162.65</v>
      </c>
    </row>
    <row r="70" spans="2:5" x14ac:dyDescent="0.25">
      <c r="B70" s="145">
        <v>54</v>
      </c>
      <c r="C70" s="31"/>
      <c r="D70" s="189">
        <f t="shared" si="0"/>
        <v>162.15</v>
      </c>
      <c r="E70" s="5">
        <v>163.19999999999999</v>
      </c>
    </row>
    <row r="71" spans="2:5" x14ac:dyDescent="0.25">
      <c r="B71" s="145">
        <v>55</v>
      </c>
      <c r="C71" s="31"/>
      <c r="D71" s="189">
        <f t="shared" si="0"/>
        <v>162.15</v>
      </c>
      <c r="E71" s="5">
        <v>162.30000000000001</v>
      </c>
    </row>
    <row r="72" spans="2:5" x14ac:dyDescent="0.25">
      <c r="B72" s="145">
        <v>56</v>
      </c>
      <c r="C72" s="31"/>
      <c r="D72" s="189">
        <f t="shared" si="0"/>
        <v>162.15</v>
      </c>
      <c r="E72" s="5">
        <v>162.1</v>
      </c>
    </row>
    <row r="73" spans="2:5" x14ac:dyDescent="0.25">
      <c r="B73" s="145">
        <v>57</v>
      </c>
      <c r="C73" s="31"/>
      <c r="D73" s="189">
        <f t="shared" si="0"/>
        <v>162.15</v>
      </c>
      <c r="E73" s="5">
        <v>159.5</v>
      </c>
    </row>
    <row r="74" spans="2:5" x14ac:dyDescent="0.25">
      <c r="B74" s="186">
        <v>58</v>
      </c>
      <c r="C74" s="187"/>
      <c r="D74" s="172">
        <f t="shared" si="0"/>
        <v>162.15</v>
      </c>
      <c r="E74" s="166">
        <v>160.30000000000001</v>
      </c>
    </row>
    <row r="75" spans="2:5" x14ac:dyDescent="0.25">
      <c r="B75" s="145">
        <v>59</v>
      </c>
      <c r="C75" s="31"/>
      <c r="D75" s="189">
        <f t="shared" si="0"/>
        <v>162.15</v>
      </c>
      <c r="E75" s="5">
        <v>161.30000000000001</v>
      </c>
    </row>
    <row r="76" spans="2:5" x14ac:dyDescent="0.25">
      <c r="B76" s="186">
        <v>60</v>
      </c>
      <c r="C76" s="187"/>
      <c r="D76" s="172">
        <f t="shared" si="0"/>
        <v>162.15</v>
      </c>
      <c r="E76" s="166">
        <v>160.6</v>
      </c>
    </row>
    <row r="77" spans="2:5" x14ac:dyDescent="0.25">
      <c r="E77" s="2"/>
    </row>
  </sheetData>
  <mergeCells count="3">
    <mergeCell ref="B11:D11"/>
    <mergeCell ref="D3:D6"/>
    <mergeCell ref="B1:E1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2:E70"/>
  <sheetViews>
    <sheetView zoomScale="90" zoomScaleNormal="90" workbookViewId="0">
      <selection activeCell="L22" sqref="L22"/>
    </sheetView>
  </sheetViews>
  <sheetFormatPr defaultColWidth="9.140625" defaultRowHeight="15.75" x14ac:dyDescent="0.25"/>
  <cols>
    <col min="1" max="1" width="9.140625" style="3"/>
    <col min="2" max="2" width="6.42578125" style="2" bestFit="1" customWidth="1"/>
    <col min="3" max="3" width="21.5703125" style="2" bestFit="1" customWidth="1"/>
    <col min="4" max="4" width="27.28515625" style="3" bestFit="1" customWidth="1"/>
    <col min="5" max="5" width="23.85546875" style="2" customWidth="1"/>
    <col min="6" max="16384" width="9.140625" style="3"/>
  </cols>
  <sheetData>
    <row r="2" spans="2:5" x14ac:dyDescent="0.25">
      <c r="B2" s="4"/>
      <c r="C2" s="5"/>
      <c r="D2" s="5" t="s">
        <v>240</v>
      </c>
      <c r="E2" s="5" t="s">
        <v>241</v>
      </c>
    </row>
    <row r="3" spans="2:5" ht="30" x14ac:dyDescent="0.25">
      <c r="B3" s="4" t="s">
        <v>242</v>
      </c>
      <c r="C3" s="5" t="s">
        <v>243</v>
      </c>
      <c r="D3" s="5" t="s">
        <v>244</v>
      </c>
      <c r="E3" s="119" t="s">
        <v>245</v>
      </c>
    </row>
    <row r="6" spans="2:5" x14ac:dyDescent="0.25">
      <c r="B6" s="7"/>
      <c r="C6" s="9" t="s">
        <v>246</v>
      </c>
      <c r="D6" s="4" t="s">
        <v>247</v>
      </c>
      <c r="E6" s="5" t="s">
        <v>248</v>
      </c>
    </row>
    <row r="7" spans="2:5" x14ac:dyDescent="0.25">
      <c r="B7" s="87">
        <v>0.5</v>
      </c>
      <c r="C7" s="18">
        <v>1000</v>
      </c>
      <c r="D7" s="81">
        <v>0.22650086457101268</v>
      </c>
      <c r="E7" s="91">
        <f>1000*D7</f>
        <v>226.50086457101267</v>
      </c>
    </row>
    <row r="8" spans="2:5" x14ac:dyDescent="0.25">
      <c r="B8" s="87">
        <v>1</v>
      </c>
      <c r="C8" s="18">
        <v>1000</v>
      </c>
      <c r="D8" s="81">
        <v>0.28689840732054822</v>
      </c>
      <c r="E8" s="91">
        <f t="shared" ref="E8:E9" si="0">1000*D8</f>
        <v>286.89840732054824</v>
      </c>
    </row>
    <row r="9" spans="2:5" x14ac:dyDescent="0.25">
      <c r="B9" s="87">
        <v>1.5</v>
      </c>
      <c r="C9" s="18"/>
      <c r="D9" s="81">
        <v>0.33220965350981047</v>
      </c>
      <c r="E9" s="91">
        <f t="shared" si="0"/>
        <v>332.20965350981044</v>
      </c>
    </row>
    <row r="10" spans="2:5" x14ac:dyDescent="0.25">
      <c r="B10" s="87">
        <v>2</v>
      </c>
      <c r="C10" s="18"/>
      <c r="D10" s="81">
        <v>0.36870487419596387</v>
      </c>
      <c r="E10" s="91">
        <f t="shared" ref="E10:E70" si="1">1000*D10</f>
        <v>368.7048741959639</v>
      </c>
    </row>
    <row r="11" spans="2:5" x14ac:dyDescent="0.25">
      <c r="B11" s="87">
        <v>3</v>
      </c>
      <c r="C11" s="18"/>
      <c r="D11" s="81">
        <v>0.42510867426276205</v>
      </c>
      <c r="E11" s="91">
        <f t="shared" si="1"/>
        <v>425.10867426276207</v>
      </c>
    </row>
    <row r="12" spans="2:5" x14ac:dyDescent="0.25">
      <c r="B12" s="120">
        <v>4</v>
      </c>
      <c r="C12" s="17"/>
      <c r="D12" s="4">
        <v>0.47057915059541722</v>
      </c>
      <c r="E12" s="121">
        <f t="shared" si="1"/>
        <v>470.57915059541722</v>
      </c>
    </row>
    <row r="13" spans="2:5" x14ac:dyDescent="0.25">
      <c r="B13" s="87">
        <v>4.5</v>
      </c>
      <c r="C13" s="18"/>
      <c r="D13" s="81">
        <v>0.49168280712233592</v>
      </c>
      <c r="E13" s="91">
        <f t="shared" si="1"/>
        <v>491.68280712233593</v>
      </c>
    </row>
    <row r="14" spans="2:5" x14ac:dyDescent="0.25">
      <c r="B14" s="87">
        <v>5</v>
      </c>
      <c r="C14" s="18"/>
      <c r="D14" s="81">
        <v>0.51279967223096568</v>
      </c>
      <c r="E14" s="91">
        <f t="shared" si="1"/>
        <v>512.79967223096571</v>
      </c>
    </row>
    <row r="15" spans="2:5" x14ac:dyDescent="0.25">
      <c r="B15" s="87">
        <v>6</v>
      </c>
      <c r="C15" s="18"/>
      <c r="D15" s="81">
        <v>0.55707625258222793</v>
      </c>
      <c r="E15" s="91">
        <f t="shared" si="1"/>
        <v>557.07625258222788</v>
      </c>
    </row>
    <row r="16" spans="2:5" x14ac:dyDescent="0.25">
      <c r="B16" s="120">
        <v>7</v>
      </c>
      <c r="C16" s="17"/>
      <c r="D16" s="4">
        <v>0.60764724986063301</v>
      </c>
      <c r="E16" s="121">
        <f t="shared" si="1"/>
        <v>607.647249860633</v>
      </c>
    </row>
    <row r="17" spans="2:5" x14ac:dyDescent="0.25">
      <c r="B17" s="120">
        <v>8</v>
      </c>
      <c r="C17" s="17"/>
      <c r="D17" s="4">
        <v>0.66774673258164929</v>
      </c>
      <c r="E17" s="121">
        <f t="shared" si="1"/>
        <v>667.74673258164933</v>
      </c>
    </row>
    <row r="18" spans="2:5" x14ac:dyDescent="0.25">
      <c r="B18" s="120">
        <v>9</v>
      </c>
      <c r="C18" s="17"/>
      <c r="D18" s="4">
        <v>0.73890179620578278</v>
      </c>
      <c r="E18" s="121">
        <f t="shared" si="1"/>
        <v>738.90179620578283</v>
      </c>
    </row>
    <row r="19" spans="2:5" x14ac:dyDescent="0.25">
      <c r="B19" s="120">
        <v>10</v>
      </c>
      <c r="C19" s="17"/>
      <c r="D19" s="4">
        <v>0.81992237166431758</v>
      </c>
      <c r="E19" s="121">
        <f t="shared" si="1"/>
        <v>819.92237166431755</v>
      </c>
    </row>
    <row r="20" spans="2:5" x14ac:dyDescent="0.25">
      <c r="B20" s="87">
        <v>10.3</v>
      </c>
      <c r="C20" s="18"/>
      <c r="D20" s="81">
        <v>0.84551735726501287</v>
      </c>
      <c r="E20" s="91">
        <f t="shared" si="1"/>
        <v>845.51735726501283</v>
      </c>
    </row>
    <row r="21" spans="2:5" x14ac:dyDescent="0.25">
      <c r="B21" s="120">
        <v>11</v>
      </c>
      <c r="C21" s="17"/>
      <c r="D21" s="4">
        <v>0.90641873541791873</v>
      </c>
      <c r="E21" s="121">
        <f t="shared" si="1"/>
        <v>906.4187354179187</v>
      </c>
    </row>
    <row r="22" spans="2:5" x14ac:dyDescent="0.25">
      <c r="B22" s="87">
        <v>12</v>
      </c>
      <c r="C22" s="18"/>
      <c r="D22" s="81">
        <v>0.99170956461957716</v>
      </c>
      <c r="E22" s="91">
        <f t="shared" si="1"/>
        <v>991.70956461957712</v>
      </c>
    </row>
    <row r="23" spans="2:5" x14ac:dyDescent="0.25">
      <c r="B23" s="87">
        <v>13</v>
      </c>
      <c r="C23" s="18"/>
      <c r="D23" s="81">
        <v>1.0690561313321774</v>
      </c>
      <c r="E23" s="91">
        <f t="shared" si="1"/>
        <v>1069.0561313321773</v>
      </c>
    </row>
    <row r="24" spans="2:5" x14ac:dyDescent="0.25">
      <c r="B24" s="120">
        <v>14</v>
      </c>
      <c r="C24" s="17"/>
      <c r="D24" s="4">
        <v>1.133910465242616</v>
      </c>
      <c r="E24" s="121">
        <f t="shared" si="1"/>
        <v>1133.9104652426161</v>
      </c>
    </row>
    <row r="25" spans="2:5" x14ac:dyDescent="0.25">
      <c r="B25" s="120">
        <v>15</v>
      </c>
      <c r="C25" s="17"/>
      <c r="D25" s="4">
        <v>1.1848101136009463</v>
      </c>
      <c r="E25" s="121">
        <f t="shared" si="1"/>
        <v>1184.8101136009464</v>
      </c>
    </row>
    <row r="26" spans="2:5" x14ac:dyDescent="0.25">
      <c r="B26" s="120">
        <v>16</v>
      </c>
      <c r="C26" s="17"/>
      <c r="D26" s="4">
        <v>1.222787225320205</v>
      </c>
      <c r="E26" s="121">
        <f t="shared" si="1"/>
        <v>1222.7872253202049</v>
      </c>
    </row>
    <row r="27" spans="2:5" x14ac:dyDescent="0.25">
      <c r="B27" s="120">
        <v>17</v>
      </c>
      <c r="C27" s="17"/>
      <c r="D27" s="4">
        <v>1.2501544324810225</v>
      </c>
      <c r="E27" s="121">
        <f t="shared" si="1"/>
        <v>1250.1544324810225</v>
      </c>
    </row>
    <row r="28" spans="2:5" x14ac:dyDescent="0.25">
      <c r="B28" s="120">
        <v>18</v>
      </c>
      <c r="C28" s="17"/>
      <c r="D28" s="4">
        <v>1.2694776351111658</v>
      </c>
      <c r="E28" s="121">
        <f t="shared" si="1"/>
        <v>1269.4776351111659</v>
      </c>
    </row>
    <row r="29" spans="2:5" x14ac:dyDescent="0.25">
      <c r="B29" s="87">
        <v>19</v>
      </c>
      <c r="C29" s="18"/>
      <c r="D29" s="81">
        <v>1.2830125884815935</v>
      </c>
      <c r="E29" s="91">
        <f t="shared" si="1"/>
        <v>1283.0125884815934</v>
      </c>
    </row>
    <row r="30" spans="2:5" x14ac:dyDescent="0.25">
      <c r="B30" s="87">
        <v>20</v>
      </c>
      <c r="C30" s="18"/>
      <c r="D30" s="81">
        <v>1.2925183027794156</v>
      </c>
      <c r="E30" s="91">
        <f t="shared" si="1"/>
        <v>1292.5183027794155</v>
      </c>
    </row>
    <row r="31" spans="2:5" x14ac:dyDescent="0.25">
      <c r="B31" s="120">
        <v>21</v>
      </c>
      <c r="C31" s="17"/>
      <c r="D31" s="4">
        <v>1.2992739661272272</v>
      </c>
      <c r="E31" s="121">
        <f t="shared" si="1"/>
        <v>1299.2739661272271</v>
      </c>
    </row>
    <row r="32" spans="2:5" x14ac:dyDescent="0.25">
      <c r="B32" s="120">
        <v>22</v>
      </c>
      <c r="C32" s="17"/>
      <c r="D32" s="4">
        <v>1.3055007135416143</v>
      </c>
      <c r="E32" s="121">
        <f t="shared" si="1"/>
        <v>1305.5007135416142</v>
      </c>
    </row>
    <row r="33" spans="2:5" x14ac:dyDescent="0.25">
      <c r="B33" s="120">
        <v>23</v>
      </c>
      <c r="C33" s="17"/>
      <c r="D33" s="4">
        <v>1.3226455686300818</v>
      </c>
      <c r="E33" s="121">
        <f t="shared" si="1"/>
        <v>1322.6455686300817</v>
      </c>
    </row>
    <row r="34" spans="2:5" s="2" customFormat="1" x14ac:dyDescent="0.25">
      <c r="B34" s="120">
        <v>24</v>
      </c>
      <c r="C34" s="17"/>
      <c r="D34" s="4">
        <v>1.3310549175399815</v>
      </c>
      <c r="E34" s="121">
        <f t="shared" si="1"/>
        <v>1331.0549175399815</v>
      </c>
    </row>
    <row r="35" spans="2:5" s="2" customFormat="1" x14ac:dyDescent="0.25">
      <c r="B35" s="87">
        <v>25</v>
      </c>
      <c r="C35" s="18"/>
      <c r="D35" s="81">
        <v>1.3390956828126408</v>
      </c>
      <c r="E35" s="91">
        <f t="shared" si="1"/>
        <v>1339.0956828126407</v>
      </c>
    </row>
    <row r="36" spans="2:5" s="2" customFormat="1" x14ac:dyDescent="0.25">
      <c r="B36" s="120">
        <v>26</v>
      </c>
      <c r="C36" s="17"/>
      <c r="D36" s="4">
        <v>1.3467737542515421</v>
      </c>
      <c r="E36" s="121">
        <f t="shared" si="1"/>
        <v>1346.7737542515422</v>
      </c>
    </row>
    <row r="37" spans="2:5" s="2" customFormat="1" x14ac:dyDescent="0.25">
      <c r="B37" s="120">
        <v>27</v>
      </c>
      <c r="C37" s="17"/>
      <c r="D37" s="4">
        <v>1.3540946812678898</v>
      </c>
      <c r="E37" s="121">
        <f t="shared" si="1"/>
        <v>1354.0946812678899</v>
      </c>
    </row>
    <row r="38" spans="2:5" s="2" customFormat="1" x14ac:dyDescent="0.25">
      <c r="B38" s="120">
        <v>28</v>
      </c>
      <c r="C38" s="17"/>
      <c r="D38" s="4">
        <v>1.3610636977530599</v>
      </c>
      <c r="E38" s="121">
        <f t="shared" si="1"/>
        <v>1361.0636977530598</v>
      </c>
    </row>
    <row r="39" spans="2:5" s="2" customFormat="1" x14ac:dyDescent="0.25">
      <c r="B39" s="120">
        <v>29</v>
      </c>
      <c r="C39" s="17"/>
      <c r="D39" s="4">
        <v>1.3676857410376875</v>
      </c>
      <c r="E39" s="121">
        <f t="shared" si="1"/>
        <v>1367.6857410376874</v>
      </c>
    </row>
    <row r="40" spans="2:5" s="2" customFormat="1" x14ac:dyDescent="0.25">
      <c r="B40" s="120">
        <v>30</v>
      </c>
      <c r="C40" s="17"/>
      <c r="D40" s="4">
        <v>1.3739654681651625</v>
      </c>
      <c r="E40" s="121">
        <f t="shared" si="1"/>
        <v>1373.9654681651625</v>
      </c>
    </row>
    <row r="41" spans="2:5" s="2" customFormat="1" x14ac:dyDescent="0.25">
      <c r="B41" s="120">
        <v>31</v>
      </c>
      <c r="C41" s="17"/>
      <c r="D41" s="4">
        <v>1.3799072704846345</v>
      </c>
      <c r="E41" s="121">
        <f t="shared" si="1"/>
        <v>1379.9072704846344</v>
      </c>
    </row>
    <row r="42" spans="2:5" s="2" customFormat="1" x14ac:dyDescent="0.25">
      <c r="B42" s="120">
        <v>32</v>
      </c>
      <c r="C42" s="17"/>
      <c r="D42" s="4">
        <v>1.3855152869300906</v>
      </c>
      <c r="E42" s="121">
        <f t="shared" si="1"/>
        <v>1385.5152869300907</v>
      </c>
    </row>
    <row r="43" spans="2:5" s="2" customFormat="1" x14ac:dyDescent="0.25">
      <c r="B43" s="120">
        <v>33</v>
      </c>
      <c r="C43" s="17"/>
      <c r="D43" s="4">
        <v>1.3907934161623623</v>
      </c>
      <c r="E43" s="121">
        <f t="shared" si="1"/>
        <v>1390.7934161623623</v>
      </c>
    </row>
    <row r="44" spans="2:5" s="2" customFormat="1" x14ac:dyDescent="0.25">
      <c r="B44" s="120">
        <v>34</v>
      </c>
      <c r="C44" s="17"/>
      <c r="D44" s="4">
        <v>1.3957453276892584</v>
      </c>
      <c r="E44" s="121">
        <f t="shared" si="1"/>
        <v>1395.7453276892584</v>
      </c>
    </row>
    <row r="45" spans="2:5" s="2" customFormat="1" x14ac:dyDescent="0.25">
      <c r="B45" s="120">
        <v>35</v>
      </c>
      <c r="C45" s="17"/>
      <c r="D45" s="4">
        <v>1.4003744720543336</v>
      </c>
      <c r="E45" s="121">
        <f t="shared" si="1"/>
        <v>1400.3744720543336</v>
      </c>
    </row>
    <row r="46" spans="2:5" s="2" customFormat="1" x14ac:dyDescent="0.25">
      <c r="B46" s="120">
        <v>36</v>
      </c>
      <c r="C46" s="17"/>
      <c r="D46" s="4">
        <v>1.4046840901715929</v>
      </c>
      <c r="E46" s="121">
        <f t="shared" si="1"/>
        <v>1404.684090171593</v>
      </c>
    </row>
    <row r="47" spans="2:5" s="2" customFormat="1" x14ac:dyDescent="0.25">
      <c r="B47" s="120">
        <v>37</v>
      </c>
      <c r="C47" s="17"/>
      <c r="D47" s="4">
        <v>1.4086772218739987</v>
      </c>
      <c r="E47" s="121">
        <f t="shared" si="1"/>
        <v>1408.6772218739986</v>
      </c>
    </row>
    <row r="48" spans="2:5" s="2" customFormat="1" x14ac:dyDescent="0.25">
      <c r="B48" s="120">
        <v>38</v>
      </c>
      <c r="C48" s="17"/>
      <c r="D48" s="4">
        <v>1.4123567137360509</v>
      </c>
      <c r="E48" s="121">
        <f t="shared" si="1"/>
        <v>1412.3567137360508</v>
      </c>
    </row>
    <row r="49" spans="2:5" s="2" customFormat="1" x14ac:dyDescent="0.25">
      <c r="B49" s="120">
        <v>39</v>
      </c>
      <c r="C49" s="17"/>
      <c r="D49" s="4">
        <v>1.415725226224108</v>
      </c>
      <c r="E49" s="121">
        <f t="shared" si="1"/>
        <v>1415.7252262241079</v>
      </c>
    </row>
    <row r="50" spans="2:5" s="2" customFormat="1" x14ac:dyDescent="0.25">
      <c r="B50" s="120">
        <v>40</v>
      </c>
      <c r="C50" s="17"/>
      <c r="D50" s="4">
        <v>1.4187852402222945</v>
      </c>
      <c r="E50" s="121">
        <f t="shared" si="1"/>
        <v>1418.7852402222945</v>
      </c>
    </row>
    <row r="51" spans="2:5" s="2" customFormat="1" x14ac:dyDescent="0.25">
      <c r="B51" s="120">
        <v>41</v>
      </c>
      <c r="C51" s="17"/>
      <c r="D51" s="4">
        <v>1.4215390629766353</v>
      </c>
      <c r="E51" s="121">
        <f t="shared" si="1"/>
        <v>1421.5390629766353</v>
      </c>
    </row>
    <row r="52" spans="2:5" s="2" customFormat="1" x14ac:dyDescent="0.25">
      <c r="B52" s="120">
        <v>42</v>
      </c>
      <c r="C52" s="17"/>
      <c r="D52" s="4">
        <v>1.4239888334953752</v>
      </c>
      <c r="E52" s="121">
        <f t="shared" si="1"/>
        <v>1423.9888334953753</v>
      </c>
    </row>
    <row r="53" spans="2:5" s="2" customFormat="1" x14ac:dyDescent="0.25">
      <c r="B53" s="120">
        <v>43</v>
      </c>
      <c r="C53" s="17"/>
      <c r="D53" s="4">
        <v>1.426136527439275</v>
      </c>
      <c r="E53" s="121">
        <f t="shared" si="1"/>
        <v>1426.1365274392749</v>
      </c>
    </row>
    <row r="54" spans="2:5" s="2" customFormat="1" x14ac:dyDescent="0.25">
      <c r="B54" s="120">
        <v>44</v>
      </c>
      <c r="C54" s="17"/>
      <c r="D54" s="4">
        <v>1.4279839615318157</v>
      </c>
      <c r="E54" s="121">
        <f t="shared" si="1"/>
        <v>1427.9839615318158</v>
      </c>
    </row>
    <row r="55" spans="2:5" s="2" customFormat="1" x14ac:dyDescent="0.25">
      <c r="B55" s="120">
        <v>45</v>
      </c>
      <c r="C55" s="17"/>
      <c r="D55" s="4">
        <v>1.429532797515831</v>
      </c>
      <c r="E55" s="121">
        <f t="shared" si="1"/>
        <v>1429.5327975158309</v>
      </c>
    </row>
    <row r="56" spans="2:5" s="2" customFormat="1" x14ac:dyDescent="0.25">
      <c r="B56" s="120">
        <v>46</v>
      </c>
      <c r="C56" s="17"/>
      <c r="D56" s="4">
        <v>1.430784545679878</v>
      </c>
      <c r="E56" s="121">
        <f t="shared" si="1"/>
        <v>1430.784545679878</v>
      </c>
    </row>
    <row r="57" spans="2:5" s="2" customFormat="1" x14ac:dyDescent="0.25">
      <c r="B57" s="120">
        <v>47</v>
      </c>
      <c r="C57" s="17"/>
      <c r="D57" s="4">
        <v>1.431740567974785</v>
      </c>
      <c r="E57" s="121">
        <f t="shared" si="1"/>
        <v>1431.7405679747849</v>
      </c>
    </row>
    <row r="58" spans="2:5" s="2" customFormat="1" x14ac:dyDescent="0.25">
      <c r="B58" s="120">
        <v>48</v>
      </c>
      <c r="C58" s="17"/>
      <c r="D58" s="4">
        <v>1.4324020807381224</v>
      </c>
      <c r="E58" s="121">
        <f t="shared" si="1"/>
        <v>1432.4020807381223</v>
      </c>
    </row>
    <row r="59" spans="2:5" s="2" customFormat="1" x14ac:dyDescent="0.25">
      <c r="B59" s="87">
        <v>49</v>
      </c>
      <c r="C59" s="18"/>
      <c r="D59" s="81">
        <v>1.4327701570418325</v>
      </c>
      <c r="E59" s="91">
        <f t="shared" si="1"/>
        <v>1432.7701570418326</v>
      </c>
    </row>
    <row r="60" spans="2:5" s="2" customFormat="1" x14ac:dyDescent="0.25">
      <c r="B60" s="87">
        <v>50</v>
      </c>
      <c r="C60" s="18"/>
      <c r="D60" s="81">
        <v>1.432845728675944</v>
      </c>
      <c r="E60" s="91">
        <f t="shared" si="1"/>
        <v>1432.845728675944</v>
      </c>
    </row>
    <row r="61" spans="2:5" s="2" customFormat="1" x14ac:dyDescent="0.25">
      <c r="B61" s="120">
        <v>51</v>
      </c>
      <c r="C61" s="17"/>
      <c r="D61" s="4">
        <v>1.4326295877790842</v>
      </c>
      <c r="E61" s="121">
        <f t="shared" si="1"/>
        <v>1432.6295877790842</v>
      </c>
    </row>
    <row r="62" spans="2:5" s="2" customFormat="1" x14ac:dyDescent="0.25">
      <c r="B62" s="120">
        <v>52</v>
      </c>
      <c r="C62" s="17"/>
      <c r="D62" s="4">
        <v>1.4321223881243954</v>
      </c>
      <c r="E62" s="121">
        <f t="shared" si="1"/>
        <v>1432.1223881243955</v>
      </c>
    </row>
    <row r="63" spans="2:5" s="2" customFormat="1" x14ac:dyDescent="0.25">
      <c r="B63" s="120">
        <v>53</v>
      </c>
      <c r="C63" s="17"/>
      <c r="D63" s="4">
        <v>1.4313246460674878</v>
      </c>
      <c r="E63" s="121">
        <f t="shared" si="1"/>
        <v>1431.3246460674877</v>
      </c>
    </row>
    <row r="64" spans="2:5" s="2" customFormat="1" x14ac:dyDescent="0.25">
      <c r="B64" s="120">
        <v>54</v>
      </c>
      <c r="C64" s="17"/>
      <c r="D64" s="4">
        <v>1.4302367411610866</v>
      </c>
      <c r="E64" s="121">
        <f t="shared" si="1"/>
        <v>1430.2367411610865</v>
      </c>
    </row>
    <row r="65" spans="2:5" s="2" customFormat="1" x14ac:dyDescent="0.25">
      <c r="B65" s="120">
        <v>55</v>
      </c>
      <c r="C65" s="17"/>
      <c r="D65" s="4">
        <v>1.4288589164391596</v>
      </c>
      <c r="E65" s="121">
        <f t="shared" si="1"/>
        <v>1428.8589164391597</v>
      </c>
    </row>
    <row r="66" spans="2:5" x14ac:dyDescent="0.25">
      <c r="B66" s="120">
        <v>56</v>
      </c>
      <c r="C66" s="17"/>
      <c r="D66" s="4">
        <v>1.4271912783714265</v>
      </c>
      <c r="E66" s="121">
        <f t="shared" si="1"/>
        <v>1427.1912783714265</v>
      </c>
    </row>
    <row r="67" spans="2:5" x14ac:dyDescent="0.25">
      <c r="B67" s="120">
        <v>57</v>
      </c>
      <c r="C67" s="17"/>
      <c r="D67" s="4">
        <v>1.4252337964872897</v>
      </c>
      <c r="E67" s="121">
        <f t="shared" si="1"/>
        <v>1425.2337964872897</v>
      </c>
    </row>
    <row r="68" spans="2:5" x14ac:dyDescent="0.25">
      <c r="B68" s="87">
        <v>58</v>
      </c>
      <c r="C68" s="18"/>
      <c r="D68" s="81">
        <v>1.4229863026663478</v>
      </c>
      <c r="E68" s="91">
        <f t="shared" si="1"/>
        <v>1422.9863026663479</v>
      </c>
    </row>
    <row r="69" spans="2:5" x14ac:dyDescent="0.25">
      <c r="B69" s="120">
        <v>59</v>
      </c>
      <c r="C69" s="17"/>
      <c r="D69" s="4">
        <v>1.420448490090753</v>
      </c>
      <c r="E69" s="121">
        <f t="shared" si="1"/>
        <v>1420.448490090753</v>
      </c>
    </row>
    <row r="70" spans="2:5" x14ac:dyDescent="0.25">
      <c r="B70" s="87">
        <v>60</v>
      </c>
      <c r="C70" s="18"/>
      <c r="D70" s="81">
        <v>1.4176199118526938</v>
      </c>
      <c r="E70" s="91">
        <f t="shared" si="1"/>
        <v>1417.6199118526938</v>
      </c>
    </row>
  </sheetData>
  <hyperlinks>
    <hyperlink ref="E3" r:id="rId1"/>
  </hyperlinks>
  <pageMargins left="0.7" right="0.7" top="0.75" bottom="0.75" header="0.3" footer="0.3"/>
  <pageSetup orientation="portrait"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3:F72"/>
  <sheetViews>
    <sheetView topLeftCell="A7" workbookViewId="0">
      <selection activeCell="H33" sqref="H33"/>
    </sheetView>
  </sheetViews>
  <sheetFormatPr defaultColWidth="9.140625" defaultRowHeight="15.75" x14ac:dyDescent="0.25"/>
  <cols>
    <col min="1" max="1" width="9.140625" style="3"/>
    <col min="2" max="2" width="15.28515625" style="3" bestFit="1" customWidth="1"/>
    <col min="3" max="3" width="41" style="3" bestFit="1" customWidth="1"/>
    <col min="4" max="4" width="45.42578125" style="3" customWidth="1"/>
    <col min="5" max="5" width="13.85546875" style="3" bestFit="1" customWidth="1"/>
    <col min="6" max="6" width="11.7109375" style="3" bestFit="1" customWidth="1"/>
    <col min="7" max="7" width="11.5703125" style="3" bestFit="1" customWidth="1"/>
    <col min="8" max="10" width="9.28515625" style="3" bestFit="1" customWidth="1"/>
    <col min="11" max="16384" width="9.140625" style="3"/>
  </cols>
  <sheetData>
    <row r="3" spans="3:6" x14ac:dyDescent="0.25">
      <c r="C3" s="3" t="s">
        <v>347</v>
      </c>
      <c r="D3" s="2"/>
    </row>
    <row r="7" spans="3:6" x14ac:dyDescent="0.25">
      <c r="C7" s="4" t="s">
        <v>19</v>
      </c>
      <c r="D7" s="4" t="s">
        <v>348</v>
      </c>
      <c r="E7" s="4" t="s">
        <v>349</v>
      </c>
    </row>
    <row r="8" spans="3:6" x14ac:dyDescent="0.25">
      <c r="C8" s="210">
        <v>1</v>
      </c>
      <c r="D8" s="4">
        <f t="shared" ref="D8:D72" si="0">10^((1.407) + (0.0158 *C8) - (0.00038 * C8^2) + (0.0000024 * C8^3))</f>
        <v>26.449800458686262</v>
      </c>
      <c r="E8" s="234">
        <f>D8</f>
        <v>26.449800458686262</v>
      </c>
      <c r="F8" s="4"/>
    </row>
    <row r="9" spans="3:6" x14ac:dyDescent="0.25">
      <c r="C9" s="210">
        <v>0.5</v>
      </c>
      <c r="D9" s="4">
        <f t="shared" si="0"/>
        <v>25.989941382624774</v>
      </c>
      <c r="E9" s="234">
        <f t="shared" ref="E9:E72" si="1">D9</f>
        <v>25.989941382624774</v>
      </c>
      <c r="F9" s="4"/>
    </row>
    <row r="10" spans="3:6" x14ac:dyDescent="0.25">
      <c r="C10" s="210">
        <v>1</v>
      </c>
      <c r="D10" s="4">
        <f t="shared" si="0"/>
        <v>26.449800458686262</v>
      </c>
      <c r="E10" s="234">
        <f t="shared" si="1"/>
        <v>26.449800458686262</v>
      </c>
      <c r="F10" s="4"/>
    </row>
    <row r="11" spans="3:6" x14ac:dyDescent="0.25">
      <c r="C11" s="210">
        <v>1.5</v>
      </c>
      <c r="D11" s="4">
        <f t="shared" ref="D11" si="2">10^((1.407) + (0.0158 *C11) - (0.00038 * C11^2) + (0.0000024 * C11^3))</f>
        <v>26.906245469077234</v>
      </c>
      <c r="E11" s="234">
        <f t="shared" ref="E11" si="3">D11</f>
        <v>26.906245469077234</v>
      </c>
      <c r="F11" s="4"/>
    </row>
    <row r="12" spans="3:6" x14ac:dyDescent="0.25">
      <c r="C12" s="210">
        <v>2</v>
      </c>
      <c r="D12" s="4">
        <f t="shared" si="0"/>
        <v>27.358935780154567</v>
      </c>
      <c r="E12" s="234">
        <f t="shared" si="1"/>
        <v>27.358935780154567</v>
      </c>
      <c r="F12" s="4"/>
    </row>
    <row r="13" spans="3:6" x14ac:dyDescent="0.25">
      <c r="C13" s="210">
        <v>3</v>
      </c>
      <c r="D13" s="4">
        <f t="shared" si="0"/>
        <v>28.251713927342564</v>
      </c>
      <c r="E13" s="234">
        <f t="shared" si="1"/>
        <v>28.251713927342564</v>
      </c>
      <c r="F13" s="4"/>
    </row>
    <row r="14" spans="3:6" x14ac:dyDescent="0.25">
      <c r="C14" s="210">
        <v>4</v>
      </c>
      <c r="D14" s="4">
        <f t="shared" si="0"/>
        <v>29.125514105606705</v>
      </c>
      <c r="E14" s="234">
        <f t="shared" si="1"/>
        <v>29.125514105606705</v>
      </c>
      <c r="F14" s="4"/>
    </row>
    <row r="15" spans="3:6" x14ac:dyDescent="0.25">
      <c r="C15" s="210">
        <v>4.5</v>
      </c>
      <c r="D15" s="4">
        <f t="shared" si="0"/>
        <v>29.554505689293599</v>
      </c>
      <c r="E15" s="234">
        <f t="shared" si="1"/>
        <v>29.554505689293599</v>
      </c>
      <c r="F15" s="4"/>
    </row>
    <row r="16" spans="3:6" x14ac:dyDescent="0.25">
      <c r="C16" s="210">
        <v>5</v>
      </c>
      <c r="D16" s="4">
        <f t="shared" si="0"/>
        <v>29.977816715823824</v>
      </c>
      <c r="E16" s="234">
        <f t="shared" si="1"/>
        <v>29.977816715823824</v>
      </c>
      <c r="F16" s="4"/>
    </row>
    <row r="17" spans="3:6" x14ac:dyDescent="0.25">
      <c r="C17" s="210">
        <v>6</v>
      </c>
      <c r="D17" s="4">
        <f t="shared" si="0"/>
        <v>30.806219108338436</v>
      </c>
      <c r="E17" s="234">
        <f t="shared" si="1"/>
        <v>30.806219108338436</v>
      </c>
      <c r="F17" s="4"/>
    </row>
    <row r="18" spans="3:6" x14ac:dyDescent="0.25">
      <c r="C18" s="210">
        <v>7</v>
      </c>
      <c r="D18" s="4">
        <f t="shared" si="0"/>
        <v>31.608450026392156</v>
      </c>
      <c r="E18" s="234">
        <f t="shared" si="1"/>
        <v>31.608450026392156</v>
      </c>
      <c r="F18" s="4"/>
    </row>
    <row r="19" spans="3:6" x14ac:dyDescent="0.25">
      <c r="C19" s="210">
        <v>8</v>
      </c>
      <c r="D19" s="4">
        <f t="shared" si="0"/>
        <v>32.38238262257007</v>
      </c>
      <c r="E19" s="234">
        <f t="shared" si="1"/>
        <v>32.38238262257007</v>
      </c>
      <c r="F19" s="4"/>
    </row>
    <row r="20" spans="3:6" x14ac:dyDescent="0.25">
      <c r="C20" s="210">
        <v>9</v>
      </c>
      <c r="D20" s="4">
        <f t="shared" si="0"/>
        <v>33.12604595416677</v>
      </c>
      <c r="E20" s="234">
        <f t="shared" si="1"/>
        <v>33.12604595416677</v>
      </c>
      <c r="F20" s="4"/>
    </row>
    <row r="21" spans="3:6" x14ac:dyDescent="0.25">
      <c r="C21" s="210">
        <v>10</v>
      </c>
      <c r="D21" s="4">
        <f t="shared" si="0"/>
        <v>33.837634886176502</v>
      </c>
      <c r="E21" s="234">
        <f t="shared" si="1"/>
        <v>33.837634886176502</v>
      </c>
      <c r="F21" s="4"/>
    </row>
    <row r="22" spans="3:6" x14ac:dyDescent="0.25">
      <c r="C22" s="210">
        <v>10.3</v>
      </c>
      <c r="D22" s="4">
        <f t="shared" si="0"/>
        <v>34.044608537443828</v>
      </c>
      <c r="E22" s="234">
        <f t="shared" si="1"/>
        <v>34.044608537443828</v>
      </c>
      <c r="F22" s="4"/>
    </row>
    <row r="23" spans="3:6" x14ac:dyDescent="0.25">
      <c r="C23" s="210">
        <v>11</v>
      </c>
      <c r="D23" s="4">
        <f t="shared" si="0"/>
        <v>34.515518353432377</v>
      </c>
      <c r="E23" s="234">
        <f t="shared" si="1"/>
        <v>34.515518353432377</v>
      </c>
      <c r="F23" s="4"/>
    </row>
    <row r="24" spans="3:6" x14ac:dyDescent="0.25">
      <c r="C24" s="210">
        <v>12</v>
      </c>
      <c r="D24" s="4">
        <f t="shared" si="0"/>
        <v>35.158245955878684</v>
      </c>
      <c r="E24" s="234">
        <f t="shared" si="1"/>
        <v>35.158245955878684</v>
      </c>
      <c r="F24" s="4"/>
    </row>
    <row r="25" spans="3:6" x14ac:dyDescent="0.25">
      <c r="C25" s="210">
        <v>13</v>
      </c>
      <c r="D25" s="4">
        <f t="shared" si="0"/>
        <v>35.764552882695824</v>
      </c>
      <c r="E25" s="234">
        <f t="shared" si="1"/>
        <v>35.764552882695824</v>
      </c>
      <c r="F25" s="4"/>
    </row>
    <row r="26" spans="3:6" x14ac:dyDescent="0.25">
      <c r="C26" s="210">
        <v>14</v>
      </c>
      <c r="D26" s="4">
        <f t="shared" si="0"/>
        <v>36.333363181691105</v>
      </c>
      <c r="E26" s="234">
        <f t="shared" si="1"/>
        <v>36.333363181691105</v>
      </c>
      <c r="F26" s="4"/>
    </row>
    <row r="27" spans="3:6" x14ac:dyDescent="0.25">
      <c r="C27" s="210">
        <v>15</v>
      </c>
      <c r="D27" s="4">
        <f t="shared" si="0"/>
        <v>36.863791409739768</v>
      </c>
      <c r="E27" s="234">
        <f t="shared" si="1"/>
        <v>36.863791409739768</v>
      </c>
      <c r="F27" s="4"/>
    </row>
    <row r="28" spans="3:6" x14ac:dyDescent="0.25">
      <c r="C28" s="210">
        <v>16</v>
      </c>
      <c r="D28" s="4">
        <f t="shared" si="0"/>
        <v>37.355142717868979</v>
      </c>
      <c r="E28" s="234">
        <f t="shared" si="1"/>
        <v>37.355142717868979</v>
      </c>
      <c r="F28" s="4"/>
    </row>
    <row r="29" spans="3:6" x14ac:dyDescent="0.25">
      <c r="C29" s="210">
        <v>17</v>
      </c>
      <c r="D29" s="4">
        <f t="shared" si="0"/>
        <v>37.80691144063384</v>
      </c>
      <c r="E29" s="234">
        <f t="shared" si="1"/>
        <v>37.80691144063384</v>
      </c>
      <c r="F29" s="4"/>
    </row>
    <row r="30" spans="3:6" x14ac:dyDescent="0.25">
      <c r="C30" s="210">
        <v>18</v>
      </c>
      <c r="D30" s="4">
        <f t="shared" si="0"/>
        <v>38.218778273587226</v>
      </c>
      <c r="E30" s="234">
        <f t="shared" si="1"/>
        <v>38.218778273587226</v>
      </c>
      <c r="F30" s="4"/>
    </row>
    <row r="31" spans="3:6" x14ac:dyDescent="0.25">
      <c r="C31" s="210">
        <v>19</v>
      </c>
      <c r="D31" s="4">
        <f t="shared" si="0"/>
        <v>38.59060613479592</v>
      </c>
      <c r="E31" s="234">
        <f t="shared" si="1"/>
        <v>38.59060613479592</v>
      </c>
      <c r="F31" s="4"/>
    </row>
    <row r="32" spans="3:6" x14ac:dyDescent="0.25">
      <c r="C32" s="210">
        <v>20</v>
      </c>
      <c r="D32" s="4">
        <f t="shared" si="0"/>
        <v>38.922434816444181</v>
      </c>
      <c r="E32" s="234">
        <f t="shared" si="1"/>
        <v>38.922434816444181</v>
      </c>
      <c r="F32" s="4"/>
    </row>
    <row r="33" spans="3:6" x14ac:dyDescent="0.25">
      <c r="C33" s="210">
        <v>21</v>
      </c>
      <c r="D33" s="4">
        <f t="shared" si="0"/>
        <v>39.214474540574976</v>
      </c>
      <c r="E33" s="234">
        <f t="shared" si="1"/>
        <v>39.214474540574976</v>
      </c>
      <c r="F33" s="4"/>
    </row>
    <row r="34" spans="3:6" x14ac:dyDescent="0.25">
      <c r="C34" s="210">
        <v>22</v>
      </c>
      <c r="D34" s="4">
        <f t="shared" si="0"/>
        <v>39.467098538972195</v>
      </c>
      <c r="E34" s="234">
        <f t="shared" si="1"/>
        <v>39.467098538972195</v>
      </c>
      <c r="F34" s="4"/>
    </row>
    <row r="35" spans="3:6" x14ac:dyDescent="0.25">
      <c r="C35" s="210">
        <v>23</v>
      </c>
      <c r="D35" s="4">
        <f t="shared" si="0"/>
        <v>39.680834781138692</v>
      </c>
      <c r="E35" s="234">
        <f t="shared" si="1"/>
        <v>39.680834781138692</v>
      </c>
      <c r="F35" s="4"/>
    </row>
    <row r="36" spans="3:6" x14ac:dyDescent="0.25">
      <c r="C36" s="210">
        <v>24</v>
      </c>
      <c r="D36" s="4">
        <f t="shared" si="0"/>
        <v>39.856356976363287</v>
      </c>
      <c r="E36" s="234">
        <f t="shared" si="1"/>
        <v>39.856356976363287</v>
      </c>
      <c r="F36" s="4"/>
    </row>
    <row r="37" spans="3:6" x14ac:dyDescent="0.25">
      <c r="C37" s="210">
        <v>25</v>
      </c>
      <c r="D37" s="4">
        <f t="shared" si="0"/>
        <v>39.994474976109778</v>
      </c>
      <c r="E37" s="234">
        <f t="shared" si="1"/>
        <v>39.994474976109778</v>
      </c>
      <c r="F37" s="4"/>
    </row>
    <row r="38" spans="3:6" x14ac:dyDescent="0.25">
      <c r="C38" s="210">
        <v>26</v>
      </c>
      <c r="D38" s="4">
        <f t="shared" si="0"/>
        <v>40.096124701533391</v>
      </c>
      <c r="E38" s="234">
        <f t="shared" si="1"/>
        <v>40.096124701533391</v>
      </c>
      <c r="F38" s="4"/>
    </row>
    <row r="39" spans="3:6" x14ac:dyDescent="0.25">
      <c r="C39" s="210">
        <v>27</v>
      </c>
      <c r="D39" s="4">
        <f t="shared" si="0"/>
        <v>40.162357717995441</v>
      </c>
      <c r="E39" s="234">
        <f t="shared" si="1"/>
        <v>40.162357717995441</v>
      </c>
      <c r="F39" s="4"/>
    </row>
    <row r="40" spans="3:6" x14ac:dyDescent="0.25">
      <c r="C40" s="210">
        <v>28</v>
      </c>
      <c r="D40" s="4">
        <f t="shared" si="0"/>
        <v>40.19433057416272</v>
      </c>
      <c r="E40" s="234">
        <f t="shared" si="1"/>
        <v>40.19433057416272</v>
      </c>
      <c r="F40" s="4"/>
    </row>
    <row r="41" spans="3:6" x14ac:dyDescent="0.25">
      <c r="C41" s="210">
        <v>29</v>
      </c>
      <c r="D41" s="4">
        <f t="shared" si="0"/>
        <v>40.193294017824918</v>
      </c>
      <c r="E41" s="234">
        <f t="shared" si="1"/>
        <v>40.193294017824918</v>
      </c>
      <c r="F41" s="4"/>
    </row>
    <row r="42" spans="3:6" x14ac:dyDescent="0.25">
      <c r="C42" s="210">
        <v>30</v>
      </c>
      <c r="D42" s="4">
        <f t="shared" si="0"/>
        <v>40.160582194116692</v>
      </c>
      <c r="E42" s="234">
        <f t="shared" si="1"/>
        <v>40.160582194116692</v>
      </c>
      <c r="F42" s="4"/>
    </row>
    <row r="43" spans="3:6" x14ac:dyDescent="0.25">
      <c r="C43" s="210">
        <v>31</v>
      </c>
      <c r="D43" s="4">
        <f t="shared" si="0"/>
        <v>40.097601924569069</v>
      </c>
      <c r="E43" s="234">
        <f t="shared" si="1"/>
        <v>40.097601924569069</v>
      </c>
      <c r="F43" s="4"/>
    </row>
    <row r="44" spans="3:6" x14ac:dyDescent="0.25">
      <c r="C44" s="210">
        <v>32</v>
      </c>
      <c r="D44" s="4">
        <f t="shared" si="0"/>
        <v>40.005822157517152</v>
      </c>
      <c r="E44" s="234">
        <f t="shared" si="1"/>
        <v>40.005822157517152</v>
      </c>
      <c r="F44" s="4"/>
    </row>
    <row r="45" spans="3:6" x14ac:dyDescent="0.25">
      <c r="C45" s="210">
        <v>33</v>
      </c>
      <c r="D45" s="4">
        <f t="shared" si="0"/>
        <v>39.886763672026326</v>
      </c>
      <c r="E45" s="234">
        <f t="shared" si="1"/>
        <v>39.886763672026326</v>
      </c>
      <c r="F45" s="4"/>
    </row>
    <row r="46" spans="3:6" x14ac:dyDescent="0.25">
      <c r="C46" s="210">
        <v>34</v>
      </c>
      <c r="D46" s="4">
        <f t="shared" si="0"/>
        <v>39.741989108828228</v>
      </c>
      <c r="E46" s="234">
        <f t="shared" si="1"/>
        <v>39.741989108828228</v>
      </c>
      <c r="F46" s="4"/>
    </row>
    <row r="47" spans="3:6" x14ac:dyDescent="0.25">
      <c r="C47" s="210">
        <v>35</v>
      </c>
      <c r="D47" s="4">
        <f t="shared" si="0"/>
        <v>39.573093392936165</v>
      </c>
      <c r="E47" s="234">
        <f t="shared" si="1"/>
        <v>39.573093392936165</v>
      </c>
      <c r="F47" s="4"/>
    </row>
    <row r="48" spans="3:6" x14ac:dyDescent="0.25">
      <c r="C48" s="210">
        <v>36</v>
      </c>
      <c r="D48" s="4">
        <f t="shared" si="0"/>
        <v>39.381694603773319</v>
      </c>
      <c r="E48" s="234">
        <f t="shared" si="1"/>
        <v>39.381694603773319</v>
      </c>
      <c r="F48" s="4"/>
    </row>
    <row r="49" spans="3:6" x14ac:dyDescent="0.25">
      <c r="C49" s="210">
        <v>37</v>
      </c>
      <c r="D49" s="4">
        <f t="shared" si="0"/>
        <v>39.169425339925887</v>
      </c>
      <c r="E49" s="234">
        <f t="shared" si="1"/>
        <v>39.169425339925887</v>
      </c>
      <c r="F49" s="4"/>
    </row>
    <row r="50" spans="3:6" x14ac:dyDescent="0.25">
      <c r="C50" s="210">
        <v>38</v>
      </c>
      <c r="D50" s="4">
        <f t="shared" si="0"/>
        <v>38.937924617136169</v>
      </c>
      <c r="E50" s="234">
        <f t="shared" si="1"/>
        <v>38.937924617136169</v>
      </c>
      <c r="F50" s="4"/>
    </row>
    <row r="51" spans="3:6" x14ac:dyDescent="0.25">
      <c r="C51" s="210">
        <v>39</v>
      </c>
      <c r="D51" s="4">
        <f t="shared" si="0"/>
        <v>38.688830329977989</v>
      </c>
      <c r="E51" s="234">
        <f t="shared" si="1"/>
        <v>38.688830329977989</v>
      </c>
      <c r="F51" s="4"/>
    </row>
    <row r="52" spans="3:6" x14ac:dyDescent="0.25">
      <c r="C52" s="210">
        <v>40</v>
      </c>
      <c r="D52" s="4">
        <f t="shared" si="0"/>
        <v>38.423772299890913</v>
      </c>
      <c r="E52" s="234">
        <f t="shared" si="1"/>
        <v>38.423772299890913</v>
      </c>
      <c r="F52" s="4"/>
    </row>
    <row r="53" spans="3:6" x14ac:dyDescent="0.25">
      <c r="C53" s="210">
        <v>41</v>
      </c>
      <c r="D53" s="4">
        <f t="shared" si="0"/>
        <v>38.144365924956304</v>
      </c>
      <c r="E53" s="234">
        <f t="shared" si="1"/>
        <v>38.144365924956304</v>
      </c>
      <c r="F53" s="4"/>
    </row>
    <row r="54" spans="3:6" x14ac:dyDescent="0.25">
      <c r="C54" s="210">
        <v>42</v>
      </c>
      <c r="D54" s="4">
        <f t="shared" si="0"/>
        <v>37.852206440037591</v>
      </c>
      <c r="E54" s="234">
        <f t="shared" si="1"/>
        <v>37.852206440037591</v>
      </c>
      <c r="F54" s="4"/>
    </row>
    <row r="55" spans="3:6" x14ac:dyDescent="0.25">
      <c r="C55" s="210">
        <v>43</v>
      </c>
      <c r="D55" s="4">
        <f t="shared" si="0"/>
        <v>37.548863789712094</v>
      </c>
      <c r="E55" s="234">
        <f t="shared" si="1"/>
        <v>37.548863789712094</v>
      </c>
      <c r="F55" s="4"/>
    </row>
    <row r="56" spans="3:6" x14ac:dyDescent="0.25">
      <c r="C56" s="210">
        <v>44</v>
      </c>
      <c r="D56" s="4">
        <f t="shared" si="0"/>
        <v>37.235878110828217</v>
      </c>
      <c r="E56" s="234">
        <f t="shared" si="1"/>
        <v>37.235878110828217</v>
      </c>
      <c r="F56" s="4"/>
    </row>
    <row r="57" spans="3:6" x14ac:dyDescent="0.25">
      <c r="C57" s="210">
        <v>45</v>
      </c>
      <c r="D57" s="4">
        <f t="shared" si="0"/>
        <v>36.914755816541323</v>
      </c>
      <c r="E57" s="234">
        <f t="shared" si="1"/>
        <v>36.914755816541323</v>
      </c>
      <c r="F57" s="4"/>
    </row>
    <row r="58" spans="3:6" x14ac:dyDescent="0.25">
      <c r="C58" s="210">
        <v>46</v>
      </c>
      <c r="D58" s="4">
        <f t="shared" si="0"/>
        <v>36.586966269322858</v>
      </c>
      <c r="E58" s="234">
        <f t="shared" si="1"/>
        <v>36.586966269322858</v>
      </c>
      <c r="F58" s="4"/>
    </row>
    <row r="59" spans="3:6" x14ac:dyDescent="0.25">
      <c r="C59" s="210">
        <v>47</v>
      </c>
      <c r="D59" s="4">
        <f t="shared" si="0"/>
        <v>36.253939026697211</v>
      </c>
      <c r="E59" s="234">
        <f t="shared" si="1"/>
        <v>36.253939026697211</v>
      </c>
      <c r="F59" s="4"/>
    </row>
    <row r="60" spans="3:6" x14ac:dyDescent="0.25">
      <c r="C60" s="210">
        <v>48</v>
      </c>
      <c r="D60" s="4">
        <f t="shared" si="0"/>
        <v>35.917061640326025</v>
      </c>
      <c r="E60" s="234">
        <f t="shared" si="1"/>
        <v>35.917061640326025</v>
      </c>
      <c r="F60" s="4"/>
    </row>
    <row r="61" spans="3:6" x14ac:dyDescent="0.25">
      <c r="C61" s="210">
        <v>49</v>
      </c>
      <c r="D61" s="4">
        <f t="shared" si="0"/>
        <v>35.577677986516342</v>
      </c>
      <c r="E61" s="234">
        <f t="shared" si="1"/>
        <v>35.577677986516342</v>
      </c>
      <c r="F61" s="4"/>
    </row>
    <row r="62" spans="3:6" x14ac:dyDescent="0.25">
      <c r="C62" s="210">
        <v>50</v>
      </c>
      <c r="D62" s="4">
        <f t="shared" si="0"/>
        <v>35.237087104248715</v>
      </c>
      <c r="E62" s="234">
        <f t="shared" si="1"/>
        <v>35.237087104248715</v>
      </c>
      <c r="F62" s="4"/>
    </row>
    <row r="63" spans="3:6" x14ac:dyDescent="0.25">
      <c r="C63" s="210">
        <v>51</v>
      </c>
      <c r="D63" s="4">
        <f t="shared" si="0"/>
        <v>34.896542515380261</v>
      </c>
      <c r="E63" s="234">
        <f t="shared" si="1"/>
        <v>34.896542515380261</v>
      </c>
      <c r="F63" s="4"/>
    </row>
    <row r="64" spans="3:6" x14ac:dyDescent="0.25">
      <c r="C64" s="210">
        <v>52</v>
      </c>
      <c r="D64" s="4">
        <f t="shared" si="0"/>
        <v>34.5572520007401</v>
      </c>
      <c r="E64" s="234">
        <f t="shared" si="1"/>
        <v>34.5572520007401</v>
      </c>
      <c r="F64" s="4"/>
    </row>
    <row r="65" spans="3:6" x14ac:dyDescent="0.25">
      <c r="C65" s="210">
        <v>53</v>
      </c>
      <c r="D65" s="4">
        <f t="shared" si="0"/>
        <v>34.220377805371008</v>
      </c>
      <c r="E65" s="234">
        <f t="shared" si="1"/>
        <v>34.220377805371008</v>
      </c>
      <c r="F65" s="4"/>
    </row>
    <row r="66" spans="3:6" x14ac:dyDescent="0.25">
      <c r="C66" s="210">
        <v>54</v>
      </c>
      <c r="D66" s="4">
        <f t="shared" si="0"/>
        <v>33.887037246142036</v>
      </c>
      <c r="E66" s="234">
        <f t="shared" si="1"/>
        <v>33.887037246142036</v>
      </c>
      <c r="F66" s="4"/>
    </row>
    <row r="67" spans="3:6" x14ac:dyDescent="0.25">
      <c r="C67" s="210">
        <v>55</v>
      </c>
      <c r="D67" s="4">
        <f t="shared" si="0"/>
        <v>33.55830369532805</v>
      </c>
      <c r="E67" s="234">
        <f t="shared" si="1"/>
        <v>33.55830369532805</v>
      </c>
      <c r="F67" s="4"/>
    </row>
    <row r="68" spans="3:6" x14ac:dyDescent="0.25">
      <c r="C68" s="210">
        <v>56</v>
      </c>
      <c r="D68" s="4">
        <f t="shared" si="0"/>
        <v>33.235207914491355</v>
      </c>
      <c r="E68" s="234">
        <f t="shared" si="1"/>
        <v>33.235207914491355</v>
      </c>
      <c r="F68" s="4"/>
    </row>
    <row r="69" spans="3:6" x14ac:dyDescent="0.25">
      <c r="C69" s="210">
        <v>57</v>
      </c>
      <c r="D69" s="4">
        <f t="shared" si="0"/>
        <v>32.918739714064785</v>
      </c>
      <c r="E69" s="234">
        <f t="shared" si="1"/>
        <v>32.918739714064785</v>
      </c>
      <c r="F69" s="4"/>
    </row>
    <row r="70" spans="3:6" x14ac:dyDescent="0.25">
      <c r="C70" s="210">
        <v>58</v>
      </c>
      <c r="D70" s="4">
        <f t="shared" si="0"/>
        <v>32.609849915403103</v>
      </c>
      <c r="E70" s="234">
        <f t="shared" si="1"/>
        <v>32.609849915403103</v>
      </c>
      <c r="F70" s="4"/>
    </row>
    <row r="71" spans="3:6" x14ac:dyDescent="0.25">
      <c r="C71" s="210">
        <v>59</v>
      </c>
      <c r="D71" s="4">
        <f t="shared" si="0"/>
        <v>32.30945259369836</v>
      </c>
      <c r="E71" s="234">
        <f t="shared" si="1"/>
        <v>32.30945259369836</v>
      </c>
      <c r="F71" s="4"/>
    </row>
    <row r="72" spans="3:6" x14ac:dyDescent="0.25">
      <c r="C72" s="210">
        <v>60</v>
      </c>
      <c r="D72" s="4">
        <f t="shared" si="0"/>
        <v>32.018427582027783</v>
      </c>
      <c r="E72" s="234">
        <f t="shared" si="1"/>
        <v>32.018427582027783</v>
      </c>
      <c r="F72" s="4"/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2:E74"/>
  <sheetViews>
    <sheetView topLeftCell="A7" zoomScale="98" zoomScaleNormal="98" workbookViewId="0">
      <selection activeCell="E22" sqref="E22"/>
    </sheetView>
  </sheetViews>
  <sheetFormatPr defaultColWidth="9.140625" defaultRowHeight="15.75" x14ac:dyDescent="0.25"/>
  <cols>
    <col min="1" max="2" width="9.140625" style="249"/>
    <col min="3" max="3" width="18.28515625" style="249" customWidth="1"/>
    <col min="4" max="4" width="23.7109375" style="249" customWidth="1"/>
    <col min="5" max="5" width="36.42578125" style="249" customWidth="1"/>
    <col min="6" max="16384" width="9.140625" style="249"/>
  </cols>
  <sheetData>
    <row r="2" spans="3:5" x14ac:dyDescent="0.25">
      <c r="C2" s="248"/>
      <c r="D2" s="248" t="s">
        <v>78</v>
      </c>
      <c r="E2" s="248"/>
    </row>
    <row r="3" spans="3:5" ht="63" x14ac:dyDescent="0.25">
      <c r="C3" s="248" t="s">
        <v>350</v>
      </c>
      <c r="D3" s="250" t="s">
        <v>351</v>
      </c>
      <c r="E3" s="250" t="s">
        <v>352</v>
      </c>
    </row>
    <row r="4" spans="3:5" ht="47.25" x14ac:dyDescent="0.25">
      <c r="C4" s="248" t="s">
        <v>353</v>
      </c>
      <c r="D4" s="248" t="s">
        <v>354</v>
      </c>
      <c r="E4" s="248"/>
    </row>
    <row r="6" spans="3:5" x14ac:dyDescent="0.25">
      <c r="C6" s="349" t="s">
        <v>60</v>
      </c>
      <c r="D6" s="350" t="s">
        <v>355</v>
      </c>
      <c r="E6" s="251" t="s">
        <v>356</v>
      </c>
    </row>
    <row r="7" spans="3:5" x14ac:dyDescent="0.25">
      <c r="C7" s="349"/>
      <c r="D7" s="350"/>
      <c r="E7" s="251" t="s">
        <v>357</v>
      </c>
    </row>
    <row r="8" spans="3:5" x14ac:dyDescent="0.25">
      <c r="C8" s="349"/>
      <c r="D8" s="350"/>
      <c r="E8" s="252" t="s">
        <v>358</v>
      </c>
    </row>
    <row r="9" spans="3:5" x14ac:dyDescent="0.25">
      <c r="C9" s="252">
        <v>0.1</v>
      </c>
      <c r="D9" s="252">
        <f>(C9*52)+40</f>
        <v>45.2</v>
      </c>
      <c r="E9" s="253">
        <f>1*EXP(LN(0.0153/1)*EXP(-0.01423*D9))</f>
        <v>0.11113628287132657</v>
      </c>
    </row>
    <row r="10" spans="3:5" x14ac:dyDescent="0.25">
      <c r="C10" s="252">
        <v>0.25</v>
      </c>
      <c r="D10" s="252">
        <f t="shared" ref="D10:D74" si="0">(C10*52)+40</f>
        <v>53</v>
      </c>
      <c r="E10" s="253">
        <f t="shared" ref="E10:E74" si="1">1*EXP(LN(0.0153/1)*EXP(-0.01423*D10))</f>
        <v>0.13998913174562874</v>
      </c>
    </row>
    <row r="11" spans="3:5" s="256" customFormat="1" x14ac:dyDescent="0.25">
      <c r="C11" s="254">
        <v>0.5</v>
      </c>
      <c r="D11" s="254">
        <f t="shared" si="0"/>
        <v>66</v>
      </c>
      <c r="E11" s="255">
        <f t="shared" si="1"/>
        <v>0.19512289657368581</v>
      </c>
    </row>
    <row r="12" spans="3:5" s="256" customFormat="1" x14ac:dyDescent="0.25">
      <c r="C12" s="254">
        <v>1</v>
      </c>
      <c r="D12" s="254">
        <f t="shared" si="0"/>
        <v>92</v>
      </c>
      <c r="E12" s="255">
        <f t="shared" si="1"/>
        <v>0.32343106369335989</v>
      </c>
    </row>
    <row r="13" spans="3:5" s="256" customFormat="1" x14ac:dyDescent="0.25">
      <c r="C13" s="254">
        <v>1.5</v>
      </c>
      <c r="D13" s="254">
        <f t="shared" si="0"/>
        <v>118</v>
      </c>
      <c r="E13" s="255">
        <f t="shared" si="1"/>
        <v>0.45854571400145117</v>
      </c>
    </row>
    <row r="14" spans="3:5" x14ac:dyDescent="0.25">
      <c r="C14" s="254">
        <v>2</v>
      </c>
      <c r="D14" s="254">
        <f t="shared" si="0"/>
        <v>144</v>
      </c>
      <c r="E14" s="255">
        <f t="shared" si="1"/>
        <v>0.58358038408615831</v>
      </c>
    </row>
    <row r="15" spans="3:5" x14ac:dyDescent="0.25">
      <c r="C15" s="254">
        <v>3</v>
      </c>
      <c r="D15" s="254">
        <f t="shared" si="0"/>
        <v>196</v>
      </c>
      <c r="E15" s="255">
        <f t="shared" si="1"/>
        <v>0.77339065170495924</v>
      </c>
    </row>
    <row r="16" spans="3:5" x14ac:dyDescent="0.25">
      <c r="C16" s="254">
        <v>4</v>
      </c>
      <c r="D16" s="254">
        <f t="shared" si="0"/>
        <v>248</v>
      </c>
      <c r="E16" s="255">
        <f t="shared" si="1"/>
        <v>0.884609178141331</v>
      </c>
    </row>
    <row r="17" spans="3:5" x14ac:dyDescent="0.25">
      <c r="C17" s="254">
        <v>4.5</v>
      </c>
      <c r="D17" s="254">
        <f t="shared" si="0"/>
        <v>274</v>
      </c>
      <c r="E17" s="255">
        <f t="shared" si="1"/>
        <v>0.91879507086879786</v>
      </c>
    </row>
    <row r="18" spans="3:5" s="256" customFormat="1" x14ac:dyDescent="0.25">
      <c r="C18" s="254">
        <v>5</v>
      </c>
      <c r="D18" s="254">
        <f t="shared" si="0"/>
        <v>300</v>
      </c>
      <c r="E18" s="255">
        <f t="shared" si="1"/>
        <v>0.94317733364097023</v>
      </c>
    </row>
    <row r="19" spans="3:5" x14ac:dyDescent="0.25">
      <c r="C19" s="254">
        <v>6</v>
      </c>
      <c r="D19" s="254">
        <f t="shared" si="0"/>
        <v>352</v>
      </c>
      <c r="E19" s="255">
        <f t="shared" si="1"/>
        <v>0.97247322185499863</v>
      </c>
    </row>
    <row r="20" spans="3:5" x14ac:dyDescent="0.25">
      <c r="C20" s="252">
        <v>7</v>
      </c>
      <c r="D20" s="252">
        <f t="shared" si="0"/>
        <v>404</v>
      </c>
      <c r="E20" s="253">
        <f t="shared" si="1"/>
        <v>0.98677020432392704</v>
      </c>
    </row>
    <row r="21" spans="3:5" x14ac:dyDescent="0.25">
      <c r="C21" s="252">
        <v>8</v>
      </c>
      <c r="D21" s="252">
        <f t="shared" si="0"/>
        <v>456</v>
      </c>
      <c r="E21" s="253">
        <f t="shared" si="1"/>
        <v>0.99366564736027274</v>
      </c>
    </row>
    <row r="22" spans="3:5" x14ac:dyDescent="0.25">
      <c r="C22" s="252">
        <v>9</v>
      </c>
      <c r="D22" s="252">
        <f t="shared" si="0"/>
        <v>508</v>
      </c>
      <c r="E22" s="253">
        <f t="shared" si="1"/>
        <v>0.99697265014854175</v>
      </c>
    </row>
    <row r="23" spans="3:5" s="256" customFormat="1" x14ac:dyDescent="0.25">
      <c r="C23" s="252">
        <v>10</v>
      </c>
      <c r="D23" s="252">
        <f t="shared" si="0"/>
        <v>560</v>
      </c>
      <c r="E23" s="253">
        <f t="shared" si="1"/>
        <v>0.99855440651200122</v>
      </c>
    </row>
    <row r="24" spans="3:5" s="256" customFormat="1" x14ac:dyDescent="0.25">
      <c r="C24" s="254">
        <v>10.3</v>
      </c>
      <c r="D24" s="254">
        <f t="shared" si="0"/>
        <v>575.6</v>
      </c>
      <c r="E24" s="255">
        <f t="shared" si="1"/>
        <v>0.99884202137642297</v>
      </c>
    </row>
    <row r="25" spans="3:5" x14ac:dyDescent="0.25">
      <c r="C25" s="252">
        <v>11</v>
      </c>
      <c r="D25" s="252">
        <f t="shared" si="0"/>
        <v>612</v>
      </c>
      <c r="E25" s="253">
        <f t="shared" si="1"/>
        <v>0.9993099987789632</v>
      </c>
    </row>
    <row r="26" spans="3:5" x14ac:dyDescent="0.25">
      <c r="C26" s="254">
        <v>12</v>
      </c>
      <c r="D26" s="254">
        <f t="shared" si="0"/>
        <v>664</v>
      </c>
      <c r="E26" s="255">
        <f t="shared" si="1"/>
        <v>0.99967071823804177</v>
      </c>
    </row>
    <row r="27" spans="3:5" x14ac:dyDescent="0.25">
      <c r="C27" s="254">
        <v>13</v>
      </c>
      <c r="D27" s="254">
        <f t="shared" si="0"/>
        <v>716</v>
      </c>
      <c r="E27" s="255">
        <f t="shared" si="1"/>
        <v>0.99984287527769744</v>
      </c>
    </row>
    <row r="28" spans="3:5" x14ac:dyDescent="0.25">
      <c r="C28" s="252">
        <v>14</v>
      </c>
      <c r="D28" s="252">
        <f t="shared" si="0"/>
        <v>768</v>
      </c>
      <c r="E28" s="253">
        <f t="shared" si="1"/>
        <v>0.99992502752998824</v>
      </c>
    </row>
    <row r="29" spans="3:5" x14ac:dyDescent="0.25">
      <c r="C29" s="254">
        <v>15</v>
      </c>
      <c r="D29" s="254">
        <f t="shared" si="0"/>
        <v>820</v>
      </c>
      <c r="E29" s="255">
        <f t="shared" si="1"/>
        <v>0.99996422745926539</v>
      </c>
    </row>
    <row r="30" spans="3:5" x14ac:dyDescent="0.25">
      <c r="C30" s="252">
        <v>16</v>
      </c>
      <c r="D30" s="252">
        <f t="shared" si="0"/>
        <v>872</v>
      </c>
      <c r="E30" s="253">
        <f t="shared" si="1"/>
        <v>0.99998293158067764</v>
      </c>
    </row>
    <row r="31" spans="3:5" x14ac:dyDescent="0.25">
      <c r="C31" s="252">
        <v>17</v>
      </c>
      <c r="D31" s="252">
        <f t="shared" si="0"/>
        <v>924</v>
      </c>
      <c r="E31" s="253">
        <f t="shared" si="1"/>
        <v>0.99999185605753504</v>
      </c>
    </row>
    <row r="32" spans="3:5" x14ac:dyDescent="0.25">
      <c r="C32" s="252">
        <v>18</v>
      </c>
      <c r="D32" s="252">
        <f t="shared" si="0"/>
        <v>976</v>
      </c>
      <c r="E32" s="253">
        <f t="shared" si="1"/>
        <v>0.99999611424802293</v>
      </c>
    </row>
    <row r="33" spans="3:5" x14ac:dyDescent="0.25">
      <c r="C33" s="254">
        <v>19</v>
      </c>
      <c r="D33" s="254">
        <f t="shared" si="0"/>
        <v>1028</v>
      </c>
      <c r="E33" s="255">
        <f t="shared" si="1"/>
        <v>0.99999814597761671</v>
      </c>
    </row>
    <row r="34" spans="3:5" x14ac:dyDescent="0.25">
      <c r="C34" s="254">
        <v>20</v>
      </c>
      <c r="D34" s="254">
        <f t="shared" si="0"/>
        <v>1080</v>
      </c>
      <c r="E34" s="255">
        <f t="shared" si="1"/>
        <v>0.99999911538430852</v>
      </c>
    </row>
    <row r="35" spans="3:5" x14ac:dyDescent="0.25">
      <c r="C35" s="252">
        <v>21</v>
      </c>
      <c r="D35" s="252">
        <f t="shared" si="0"/>
        <v>1132</v>
      </c>
      <c r="E35" s="253">
        <f t="shared" si="1"/>
        <v>0.99999957792056327</v>
      </c>
    </row>
    <row r="36" spans="3:5" x14ac:dyDescent="0.25">
      <c r="C36" s="252">
        <v>22</v>
      </c>
      <c r="D36" s="252">
        <f t="shared" si="0"/>
        <v>1184</v>
      </c>
      <c r="E36" s="253">
        <f t="shared" si="1"/>
        <v>0.99999979861194965</v>
      </c>
    </row>
    <row r="37" spans="3:5" x14ac:dyDescent="0.25">
      <c r="C37" s="252">
        <v>23</v>
      </c>
      <c r="D37" s="252">
        <f t="shared" si="0"/>
        <v>1236</v>
      </c>
      <c r="E37" s="253">
        <f t="shared" si="1"/>
        <v>0.99999990391111027</v>
      </c>
    </row>
    <row r="38" spans="3:5" x14ac:dyDescent="0.25">
      <c r="C38" s="252">
        <v>24</v>
      </c>
      <c r="D38" s="252">
        <f t="shared" si="0"/>
        <v>1288</v>
      </c>
      <c r="E38" s="253">
        <f t="shared" si="1"/>
        <v>0.99999995415281862</v>
      </c>
    </row>
    <row r="39" spans="3:5" s="256" customFormat="1" x14ac:dyDescent="0.25">
      <c r="C39" s="254">
        <v>25</v>
      </c>
      <c r="D39" s="254">
        <f t="shared" si="0"/>
        <v>1340</v>
      </c>
      <c r="E39" s="255">
        <f t="shared" si="1"/>
        <v>0.99999997812479646</v>
      </c>
    </row>
    <row r="40" spans="3:5" x14ac:dyDescent="0.25">
      <c r="C40" s="252">
        <v>26</v>
      </c>
      <c r="D40" s="252">
        <f t="shared" si="0"/>
        <v>1392</v>
      </c>
      <c r="E40" s="253">
        <f t="shared" si="1"/>
        <v>0.99999998956261849</v>
      </c>
    </row>
    <row r="41" spans="3:5" x14ac:dyDescent="0.25">
      <c r="C41" s="252">
        <v>27</v>
      </c>
      <c r="D41" s="252">
        <f t="shared" si="0"/>
        <v>1444</v>
      </c>
      <c r="E41" s="253">
        <f t="shared" si="1"/>
        <v>0.99999999501998083</v>
      </c>
    </row>
    <row r="42" spans="3:5" x14ac:dyDescent="0.25">
      <c r="C42" s="252">
        <v>28</v>
      </c>
      <c r="D42" s="252">
        <f t="shared" si="0"/>
        <v>1496</v>
      </c>
      <c r="E42" s="253">
        <f t="shared" si="1"/>
        <v>0.99999999762386849</v>
      </c>
    </row>
    <row r="43" spans="3:5" x14ac:dyDescent="0.25">
      <c r="C43" s="252">
        <v>29</v>
      </c>
      <c r="D43" s="252">
        <f t="shared" si="0"/>
        <v>1548</v>
      </c>
      <c r="E43" s="253">
        <f t="shared" si="1"/>
        <v>0.99999999886626922</v>
      </c>
    </row>
    <row r="44" spans="3:5" x14ac:dyDescent="0.25">
      <c r="C44" s="252">
        <v>30</v>
      </c>
      <c r="D44" s="252">
        <f t="shared" si="0"/>
        <v>1600</v>
      </c>
      <c r="E44" s="253">
        <f t="shared" si="1"/>
        <v>0.9999999994590596</v>
      </c>
    </row>
    <row r="45" spans="3:5" x14ac:dyDescent="0.25">
      <c r="C45" s="252">
        <v>31</v>
      </c>
      <c r="D45" s="252">
        <f t="shared" si="0"/>
        <v>1652</v>
      </c>
      <c r="E45" s="253">
        <f t="shared" si="1"/>
        <v>0.99999999974189946</v>
      </c>
    </row>
    <row r="46" spans="3:5" x14ac:dyDescent="0.25">
      <c r="C46" s="252">
        <v>32</v>
      </c>
      <c r="D46" s="252">
        <f t="shared" si="0"/>
        <v>1704</v>
      </c>
      <c r="E46" s="253">
        <f t="shared" si="1"/>
        <v>0.99999999987685173</v>
      </c>
    </row>
    <row r="47" spans="3:5" x14ac:dyDescent="0.25">
      <c r="C47" s="252">
        <v>33</v>
      </c>
      <c r="D47" s="252">
        <f t="shared" si="0"/>
        <v>1756</v>
      </c>
      <c r="E47" s="253">
        <f t="shared" si="1"/>
        <v>0.99999999994124189</v>
      </c>
    </row>
    <row r="48" spans="3:5" x14ac:dyDescent="0.25">
      <c r="C48" s="252">
        <v>34</v>
      </c>
      <c r="D48" s="252">
        <f t="shared" si="0"/>
        <v>1808</v>
      </c>
      <c r="E48" s="253">
        <f t="shared" si="1"/>
        <v>0.99999999997196454</v>
      </c>
    </row>
    <row r="49" spans="3:5" x14ac:dyDescent="0.25">
      <c r="C49" s="252">
        <v>35</v>
      </c>
      <c r="D49" s="252">
        <f t="shared" si="0"/>
        <v>1860</v>
      </c>
      <c r="E49" s="253">
        <f t="shared" si="1"/>
        <v>0.99999999998662337</v>
      </c>
    </row>
    <row r="50" spans="3:5" x14ac:dyDescent="0.25">
      <c r="C50" s="252">
        <v>36</v>
      </c>
      <c r="D50" s="252">
        <f t="shared" si="0"/>
        <v>1912</v>
      </c>
      <c r="E50" s="253">
        <f t="shared" si="1"/>
        <v>0.99999999999361755</v>
      </c>
    </row>
    <row r="51" spans="3:5" x14ac:dyDescent="0.25">
      <c r="C51" s="252">
        <v>37</v>
      </c>
      <c r="D51" s="252">
        <f t="shared" si="0"/>
        <v>1964</v>
      </c>
      <c r="E51" s="253">
        <f t="shared" si="1"/>
        <v>0.99999999999695477</v>
      </c>
    </row>
    <row r="52" spans="3:5" x14ac:dyDescent="0.25">
      <c r="C52" s="252">
        <v>38</v>
      </c>
      <c r="D52" s="252">
        <f t="shared" si="0"/>
        <v>2016</v>
      </c>
      <c r="E52" s="253">
        <f t="shared" si="1"/>
        <v>0.99999999999854705</v>
      </c>
    </row>
    <row r="53" spans="3:5" x14ac:dyDescent="0.25">
      <c r="C53" s="252">
        <v>39</v>
      </c>
      <c r="D53" s="252">
        <f t="shared" si="0"/>
        <v>2068</v>
      </c>
      <c r="E53" s="253">
        <f t="shared" si="1"/>
        <v>0.99999999999930678</v>
      </c>
    </row>
    <row r="54" spans="3:5" x14ac:dyDescent="0.25">
      <c r="C54" s="252">
        <v>40</v>
      </c>
      <c r="D54" s="252">
        <f t="shared" si="0"/>
        <v>2120</v>
      </c>
      <c r="E54" s="253">
        <f t="shared" si="1"/>
        <v>0.99999999999966926</v>
      </c>
    </row>
    <row r="55" spans="3:5" x14ac:dyDescent="0.25">
      <c r="C55" s="252">
        <v>41</v>
      </c>
      <c r="D55" s="252">
        <f t="shared" si="0"/>
        <v>2172</v>
      </c>
      <c r="E55" s="253">
        <f t="shared" si="1"/>
        <v>0.99999999999984213</v>
      </c>
    </row>
    <row r="56" spans="3:5" x14ac:dyDescent="0.25">
      <c r="C56" s="252">
        <v>42</v>
      </c>
      <c r="D56" s="252">
        <f t="shared" si="0"/>
        <v>2224</v>
      </c>
      <c r="E56" s="253">
        <f t="shared" si="1"/>
        <v>0.99999999999992473</v>
      </c>
    </row>
    <row r="57" spans="3:5" x14ac:dyDescent="0.25">
      <c r="C57" s="252">
        <v>43</v>
      </c>
      <c r="D57" s="252">
        <f t="shared" si="0"/>
        <v>2276</v>
      </c>
      <c r="E57" s="253">
        <f t="shared" si="1"/>
        <v>0.99999999999996403</v>
      </c>
    </row>
    <row r="58" spans="3:5" x14ac:dyDescent="0.25">
      <c r="C58" s="252">
        <v>44</v>
      </c>
      <c r="D58" s="252">
        <f t="shared" si="0"/>
        <v>2328</v>
      </c>
      <c r="E58" s="253">
        <f t="shared" si="1"/>
        <v>0.9999999999999829</v>
      </c>
    </row>
    <row r="59" spans="3:5" x14ac:dyDescent="0.25">
      <c r="C59" s="252">
        <v>45</v>
      </c>
      <c r="D59" s="252">
        <f t="shared" si="0"/>
        <v>2380</v>
      </c>
      <c r="E59" s="253">
        <f t="shared" si="1"/>
        <v>0.99999999999999178</v>
      </c>
    </row>
    <row r="60" spans="3:5" x14ac:dyDescent="0.25">
      <c r="C60" s="252">
        <v>46</v>
      </c>
      <c r="D60" s="252">
        <f t="shared" si="0"/>
        <v>2432</v>
      </c>
      <c r="E60" s="253">
        <f t="shared" si="1"/>
        <v>0.99999999999999611</v>
      </c>
    </row>
    <row r="61" spans="3:5" x14ac:dyDescent="0.25">
      <c r="C61" s="252">
        <v>47</v>
      </c>
      <c r="D61" s="252">
        <f t="shared" si="0"/>
        <v>2484</v>
      </c>
      <c r="E61" s="253">
        <f t="shared" si="1"/>
        <v>0.99999999999999811</v>
      </c>
    </row>
    <row r="62" spans="3:5" x14ac:dyDescent="0.25">
      <c r="C62" s="252">
        <v>48</v>
      </c>
      <c r="D62" s="252">
        <f t="shared" si="0"/>
        <v>2536</v>
      </c>
      <c r="E62" s="253">
        <f t="shared" si="1"/>
        <v>0.99999999999999911</v>
      </c>
    </row>
    <row r="63" spans="3:5" x14ac:dyDescent="0.25">
      <c r="C63" s="254">
        <v>49</v>
      </c>
      <c r="D63" s="254">
        <f t="shared" si="0"/>
        <v>2588</v>
      </c>
      <c r="E63" s="255">
        <f t="shared" si="1"/>
        <v>0.99999999999999956</v>
      </c>
    </row>
    <row r="64" spans="3:5" x14ac:dyDescent="0.25">
      <c r="C64" s="254">
        <v>50</v>
      </c>
      <c r="D64" s="254">
        <f t="shared" si="0"/>
        <v>2640</v>
      </c>
      <c r="E64" s="255">
        <f t="shared" si="1"/>
        <v>0.99999999999999978</v>
      </c>
    </row>
    <row r="65" spans="3:5" x14ac:dyDescent="0.25">
      <c r="C65" s="252">
        <v>51</v>
      </c>
      <c r="D65" s="252">
        <f t="shared" si="0"/>
        <v>2692</v>
      </c>
      <c r="E65" s="253">
        <f t="shared" si="1"/>
        <v>0.99999999999999989</v>
      </c>
    </row>
    <row r="66" spans="3:5" x14ac:dyDescent="0.25">
      <c r="C66" s="252">
        <v>52</v>
      </c>
      <c r="D66" s="252">
        <f t="shared" si="0"/>
        <v>2744</v>
      </c>
      <c r="E66" s="253">
        <f t="shared" si="1"/>
        <v>1</v>
      </c>
    </row>
    <row r="67" spans="3:5" x14ac:dyDescent="0.25">
      <c r="C67" s="252">
        <v>53</v>
      </c>
      <c r="D67" s="252">
        <f t="shared" si="0"/>
        <v>2796</v>
      </c>
      <c r="E67" s="253">
        <f t="shared" si="1"/>
        <v>1</v>
      </c>
    </row>
    <row r="68" spans="3:5" x14ac:dyDescent="0.25">
      <c r="C68" s="252">
        <v>54</v>
      </c>
      <c r="D68" s="252">
        <f t="shared" si="0"/>
        <v>2848</v>
      </c>
      <c r="E68" s="253">
        <f t="shared" si="1"/>
        <v>1</v>
      </c>
    </row>
    <row r="69" spans="3:5" x14ac:dyDescent="0.25">
      <c r="C69" s="252">
        <v>55</v>
      </c>
      <c r="D69" s="252">
        <f t="shared" si="0"/>
        <v>2900</v>
      </c>
      <c r="E69" s="253">
        <f t="shared" si="1"/>
        <v>1</v>
      </c>
    </row>
    <row r="70" spans="3:5" x14ac:dyDescent="0.25">
      <c r="C70" s="252">
        <v>56</v>
      </c>
      <c r="D70" s="252">
        <f t="shared" si="0"/>
        <v>2952</v>
      </c>
      <c r="E70" s="253">
        <f t="shared" si="1"/>
        <v>1</v>
      </c>
    </row>
    <row r="71" spans="3:5" x14ac:dyDescent="0.25">
      <c r="C71" s="252">
        <v>57</v>
      </c>
      <c r="D71" s="252">
        <f t="shared" si="0"/>
        <v>3004</v>
      </c>
      <c r="E71" s="253">
        <f t="shared" si="1"/>
        <v>1</v>
      </c>
    </row>
    <row r="72" spans="3:5" x14ac:dyDescent="0.25">
      <c r="C72" s="254">
        <v>58</v>
      </c>
      <c r="D72" s="254">
        <f t="shared" si="0"/>
        <v>3056</v>
      </c>
      <c r="E72" s="255">
        <f t="shared" si="1"/>
        <v>1</v>
      </c>
    </row>
    <row r="73" spans="3:5" x14ac:dyDescent="0.25">
      <c r="C73" s="252">
        <v>59</v>
      </c>
      <c r="D73" s="252">
        <f t="shared" si="0"/>
        <v>3108</v>
      </c>
      <c r="E73" s="253">
        <f t="shared" si="1"/>
        <v>1</v>
      </c>
    </row>
    <row r="74" spans="3:5" s="256" customFormat="1" x14ac:dyDescent="0.25">
      <c r="C74" s="254">
        <v>60</v>
      </c>
      <c r="D74" s="254">
        <f t="shared" si="0"/>
        <v>3160</v>
      </c>
      <c r="E74" s="255">
        <f t="shared" si="1"/>
        <v>1</v>
      </c>
    </row>
  </sheetData>
  <mergeCells count="2">
    <mergeCell ref="C6:C8"/>
    <mergeCell ref="D6:D8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2:E74"/>
  <sheetViews>
    <sheetView topLeftCell="A7" zoomScale="98" zoomScaleNormal="98" workbookViewId="0">
      <selection activeCell="E22" sqref="E22"/>
    </sheetView>
  </sheetViews>
  <sheetFormatPr defaultColWidth="9.140625" defaultRowHeight="15.75" x14ac:dyDescent="0.25"/>
  <cols>
    <col min="1" max="2" width="9.140625" style="249"/>
    <col min="3" max="3" width="18.28515625" style="249" customWidth="1"/>
    <col min="4" max="4" width="23.7109375" style="249" customWidth="1"/>
    <col min="5" max="5" width="36.42578125" style="249" customWidth="1"/>
    <col min="6" max="6" width="11.5703125" style="249" customWidth="1"/>
    <col min="7" max="16" width="9.140625" style="249"/>
    <col min="17" max="17" width="11.5703125" style="249" customWidth="1"/>
    <col min="18" max="16384" width="9.140625" style="249"/>
  </cols>
  <sheetData>
    <row r="2" spans="3:5" x14ac:dyDescent="0.25">
      <c r="C2" s="248"/>
      <c r="D2" s="248" t="s">
        <v>78</v>
      </c>
      <c r="E2" s="248"/>
    </row>
    <row r="3" spans="3:5" ht="78.75" x14ac:dyDescent="0.25">
      <c r="C3" s="248" t="s">
        <v>359</v>
      </c>
      <c r="D3" s="250" t="s">
        <v>360</v>
      </c>
      <c r="E3" s="250" t="s">
        <v>361</v>
      </c>
    </row>
    <row r="4" spans="3:5" ht="47.25" x14ac:dyDescent="0.25">
      <c r="C4" s="248" t="s">
        <v>362</v>
      </c>
      <c r="D4" s="248" t="s">
        <v>354</v>
      </c>
      <c r="E4" s="248"/>
    </row>
    <row r="6" spans="3:5" ht="15.75" customHeight="1" x14ac:dyDescent="0.25">
      <c r="C6" s="349" t="s">
        <v>60</v>
      </c>
      <c r="D6" s="350" t="s">
        <v>355</v>
      </c>
      <c r="E6" s="251" t="s">
        <v>363</v>
      </c>
    </row>
    <row r="7" spans="3:5" x14ac:dyDescent="0.25">
      <c r="C7" s="349"/>
      <c r="D7" s="350"/>
      <c r="E7" s="251" t="s">
        <v>357</v>
      </c>
    </row>
    <row r="8" spans="3:5" x14ac:dyDescent="0.25">
      <c r="C8" s="349"/>
      <c r="D8" s="350"/>
      <c r="E8" s="252" t="s">
        <v>358</v>
      </c>
    </row>
    <row r="9" spans="3:5" x14ac:dyDescent="0.25">
      <c r="C9" s="252">
        <v>0.1</v>
      </c>
      <c r="D9" s="252">
        <f>(C9*52)+40</f>
        <v>45.2</v>
      </c>
      <c r="E9" s="253">
        <f xml:space="preserve"> 1.014*D9/(19.6 + D9)</f>
        <v>0.70729629629629631</v>
      </c>
    </row>
    <row r="10" spans="3:5" x14ac:dyDescent="0.25">
      <c r="C10" s="252">
        <v>0.25</v>
      </c>
      <c r="D10" s="252">
        <f t="shared" ref="D10:D74" si="0">(C10*52)+40</f>
        <v>53</v>
      </c>
      <c r="E10" s="253">
        <f t="shared" ref="E10:E74" si="1" xml:space="preserve"> 1.014*D10/(19.6 + D10)</f>
        <v>0.74024793388429755</v>
      </c>
    </row>
    <row r="11" spans="3:5" s="256" customFormat="1" x14ac:dyDescent="0.25">
      <c r="C11" s="254">
        <v>0.5</v>
      </c>
      <c r="D11" s="254">
        <f t="shared" si="0"/>
        <v>66</v>
      </c>
      <c r="E11" s="255">
        <f t="shared" si="1"/>
        <v>0.78182242990654216</v>
      </c>
    </row>
    <row r="12" spans="3:5" s="256" customFormat="1" x14ac:dyDescent="0.25">
      <c r="C12" s="254">
        <v>1</v>
      </c>
      <c r="D12" s="254">
        <f t="shared" si="0"/>
        <v>92</v>
      </c>
      <c r="E12" s="255">
        <f t="shared" si="1"/>
        <v>0.83591397849462368</v>
      </c>
    </row>
    <row r="13" spans="3:5" s="256" customFormat="1" x14ac:dyDescent="0.25">
      <c r="C13" s="254">
        <v>1.5</v>
      </c>
      <c r="D13" s="254">
        <f t="shared" si="0"/>
        <v>118</v>
      </c>
      <c r="E13" s="255">
        <f t="shared" si="1"/>
        <v>0.86956395348837212</v>
      </c>
    </row>
    <row r="14" spans="3:5" x14ac:dyDescent="0.25">
      <c r="C14" s="254">
        <v>2</v>
      </c>
      <c r="D14" s="254">
        <f t="shared" si="0"/>
        <v>144</v>
      </c>
      <c r="E14" s="255">
        <f t="shared" si="1"/>
        <v>0.89251833740831299</v>
      </c>
    </row>
    <row r="15" spans="3:5" x14ac:dyDescent="0.25">
      <c r="C15" s="254">
        <v>3</v>
      </c>
      <c r="D15" s="254">
        <f t="shared" si="0"/>
        <v>196</v>
      </c>
      <c r="E15" s="255">
        <f t="shared" si="1"/>
        <v>0.92181818181818187</v>
      </c>
    </row>
    <row r="16" spans="3:5" x14ac:dyDescent="0.25">
      <c r="C16" s="254">
        <v>4</v>
      </c>
      <c r="D16" s="254">
        <f t="shared" si="0"/>
        <v>248</v>
      </c>
      <c r="E16" s="255">
        <f t="shared" si="1"/>
        <v>0.93973094170403582</v>
      </c>
    </row>
    <row r="17" spans="3:5" x14ac:dyDescent="0.25">
      <c r="C17" s="254">
        <v>4.5</v>
      </c>
      <c r="D17" s="254">
        <f t="shared" si="0"/>
        <v>274</v>
      </c>
      <c r="E17" s="255">
        <f t="shared" si="1"/>
        <v>0.94630790190735692</v>
      </c>
    </row>
    <row r="18" spans="3:5" s="256" customFormat="1" x14ac:dyDescent="0.25">
      <c r="C18" s="254">
        <v>5</v>
      </c>
      <c r="D18" s="254">
        <f t="shared" si="0"/>
        <v>300</v>
      </c>
      <c r="E18" s="255">
        <f t="shared" si="1"/>
        <v>0.95181476846057567</v>
      </c>
    </row>
    <row r="19" spans="3:5" x14ac:dyDescent="0.25">
      <c r="C19" s="254">
        <v>6</v>
      </c>
      <c r="D19" s="254">
        <f t="shared" si="0"/>
        <v>352</v>
      </c>
      <c r="E19" s="255">
        <f t="shared" si="1"/>
        <v>0.96051668460710438</v>
      </c>
    </row>
    <row r="20" spans="3:5" x14ac:dyDescent="0.25">
      <c r="C20" s="252">
        <v>7</v>
      </c>
      <c r="D20" s="252">
        <f t="shared" si="0"/>
        <v>404</v>
      </c>
      <c r="E20" s="253">
        <f t="shared" si="1"/>
        <v>0.96708215297450417</v>
      </c>
    </row>
    <row r="21" spans="3:5" x14ac:dyDescent="0.25">
      <c r="C21" s="252">
        <v>8</v>
      </c>
      <c r="D21" s="252">
        <f t="shared" si="0"/>
        <v>456</v>
      </c>
      <c r="E21" s="253">
        <f t="shared" si="1"/>
        <v>0.9722119428090833</v>
      </c>
    </row>
    <row r="22" spans="3:5" x14ac:dyDescent="0.25">
      <c r="C22" s="252">
        <v>9</v>
      </c>
      <c r="D22" s="252">
        <f t="shared" si="0"/>
        <v>508</v>
      </c>
      <c r="E22" s="253">
        <f t="shared" si="1"/>
        <v>0.97633055344958286</v>
      </c>
    </row>
    <row r="23" spans="3:5" s="256" customFormat="1" x14ac:dyDescent="0.25">
      <c r="C23" s="252">
        <v>10</v>
      </c>
      <c r="D23" s="252">
        <f t="shared" si="0"/>
        <v>560</v>
      </c>
      <c r="E23" s="253">
        <f t="shared" si="1"/>
        <v>0.97971014492753628</v>
      </c>
    </row>
    <row r="24" spans="3:5" s="256" customFormat="1" x14ac:dyDescent="0.25">
      <c r="C24" s="254">
        <v>10.3</v>
      </c>
      <c r="D24" s="254">
        <f t="shared" si="0"/>
        <v>575.6</v>
      </c>
      <c r="E24" s="255">
        <f t="shared" si="1"/>
        <v>0.98060887096774196</v>
      </c>
    </row>
    <row r="25" spans="3:5" x14ac:dyDescent="0.25">
      <c r="C25" s="252">
        <v>11</v>
      </c>
      <c r="D25" s="252">
        <f t="shared" si="0"/>
        <v>612</v>
      </c>
      <c r="E25" s="253">
        <f t="shared" si="1"/>
        <v>0.98253324889170357</v>
      </c>
    </row>
    <row r="26" spans="3:5" x14ac:dyDescent="0.25">
      <c r="C26" s="254">
        <v>12</v>
      </c>
      <c r="D26" s="254">
        <f t="shared" si="0"/>
        <v>664</v>
      </c>
      <c r="E26" s="255">
        <f t="shared" si="1"/>
        <v>0.98492685781158573</v>
      </c>
    </row>
    <row r="27" spans="3:5" x14ac:dyDescent="0.25">
      <c r="C27" s="254">
        <v>13</v>
      </c>
      <c r="D27" s="254">
        <f t="shared" si="0"/>
        <v>716</v>
      </c>
      <c r="E27" s="255">
        <f t="shared" si="1"/>
        <v>0.98698205546492657</v>
      </c>
    </row>
    <row r="28" spans="3:5" x14ac:dyDescent="0.25">
      <c r="C28" s="252">
        <v>14</v>
      </c>
      <c r="D28" s="252">
        <f t="shared" si="0"/>
        <v>768</v>
      </c>
      <c r="E28" s="253">
        <f t="shared" si="1"/>
        <v>0.98876587100050783</v>
      </c>
    </row>
    <row r="29" spans="3:5" x14ac:dyDescent="0.25">
      <c r="C29" s="254">
        <v>15</v>
      </c>
      <c r="D29" s="254">
        <f t="shared" si="0"/>
        <v>820</v>
      </c>
      <c r="E29" s="255">
        <f t="shared" si="1"/>
        <v>0.99032872796569793</v>
      </c>
    </row>
    <row r="30" spans="3:5" x14ac:dyDescent="0.25">
      <c r="C30" s="252">
        <v>16</v>
      </c>
      <c r="D30" s="252">
        <f t="shared" si="0"/>
        <v>872</v>
      </c>
      <c r="E30" s="253">
        <f t="shared" si="1"/>
        <v>0.99170928667563929</v>
      </c>
    </row>
    <row r="31" spans="3:5" x14ac:dyDescent="0.25">
      <c r="C31" s="252">
        <v>17</v>
      </c>
      <c r="D31" s="252">
        <f t="shared" si="0"/>
        <v>924</v>
      </c>
      <c r="E31" s="253">
        <f t="shared" si="1"/>
        <v>0.99293768545994066</v>
      </c>
    </row>
    <row r="32" spans="3:5" x14ac:dyDescent="0.25">
      <c r="C32" s="252">
        <v>18</v>
      </c>
      <c r="D32" s="252">
        <f t="shared" si="0"/>
        <v>976</v>
      </c>
      <c r="E32" s="253">
        <f t="shared" si="1"/>
        <v>0.99403776617115303</v>
      </c>
    </row>
    <row r="33" spans="3:5" x14ac:dyDescent="0.25">
      <c r="C33" s="254">
        <v>19</v>
      </c>
      <c r="D33" s="254">
        <f t="shared" si="0"/>
        <v>1028</v>
      </c>
      <c r="E33" s="255">
        <f t="shared" si="1"/>
        <v>0.99502863688430709</v>
      </c>
    </row>
    <row r="34" spans="3:5" x14ac:dyDescent="0.25">
      <c r="C34" s="254">
        <v>20</v>
      </c>
      <c r="D34" s="254">
        <f t="shared" si="0"/>
        <v>1080</v>
      </c>
      <c r="E34" s="255">
        <f t="shared" si="1"/>
        <v>0.99592579119679903</v>
      </c>
    </row>
    <row r="35" spans="3:5" x14ac:dyDescent="0.25">
      <c r="C35" s="252">
        <v>21</v>
      </c>
      <c r="D35" s="252">
        <f t="shared" si="0"/>
        <v>1132</v>
      </c>
      <c r="E35" s="253">
        <f t="shared" si="1"/>
        <v>0.99674192427926367</v>
      </c>
    </row>
    <row r="36" spans="3:5" x14ac:dyDescent="0.25">
      <c r="C36" s="252">
        <v>22</v>
      </c>
      <c r="D36" s="252">
        <f t="shared" si="0"/>
        <v>1184</v>
      </c>
      <c r="E36" s="253">
        <f t="shared" si="1"/>
        <v>0.99748753738783658</v>
      </c>
    </row>
    <row r="37" spans="3:5" x14ac:dyDescent="0.25">
      <c r="C37" s="252">
        <v>23</v>
      </c>
      <c r="D37" s="252">
        <f t="shared" si="0"/>
        <v>1236</v>
      </c>
      <c r="E37" s="253">
        <f t="shared" si="1"/>
        <v>0.99817139216310946</v>
      </c>
    </row>
    <row r="38" spans="3:5" x14ac:dyDescent="0.25">
      <c r="C38" s="252">
        <v>24</v>
      </c>
      <c r="D38" s="252">
        <f t="shared" si="0"/>
        <v>1288</v>
      </c>
      <c r="E38" s="253">
        <f t="shared" si="1"/>
        <v>0.99880085653104922</v>
      </c>
    </row>
    <row r="39" spans="3:5" s="256" customFormat="1" x14ac:dyDescent="0.25">
      <c r="C39" s="254">
        <v>25</v>
      </c>
      <c r="D39" s="254">
        <f t="shared" si="0"/>
        <v>1340</v>
      </c>
      <c r="E39" s="255">
        <f t="shared" si="1"/>
        <v>0.99938217122683148</v>
      </c>
    </row>
    <row r="40" spans="3:5" x14ac:dyDescent="0.25">
      <c r="C40" s="252">
        <v>26</v>
      </c>
      <c r="D40" s="252">
        <f t="shared" si="0"/>
        <v>1392</v>
      </c>
      <c r="E40" s="253">
        <f t="shared" si="1"/>
        <v>0.99992065741003122</v>
      </c>
    </row>
    <row r="41" spans="3:5" x14ac:dyDescent="0.25">
      <c r="C41" s="252">
        <v>27</v>
      </c>
      <c r="D41" s="252">
        <f t="shared" si="0"/>
        <v>1444</v>
      </c>
      <c r="E41" s="253">
        <f t="shared" si="1"/>
        <v>1.0004208800218641</v>
      </c>
    </row>
    <row r="42" spans="3:5" x14ac:dyDescent="0.25">
      <c r="C42" s="252">
        <v>28</v>
      </c>
      <c r="D42" s="252">
        <f t="shared" si="0"/>
        <v>1496</v>
      </c>
      <c r="E42" s="253">
        <f t="shared" si="1"/>
        <v>1.0008867775138559</v>
      </c>
    </row>
    <row r="43" spans="3:5" x14ac:dyDescent="0.25">
      <c r="C43" s="252">
        <v>29</v>
      </c>
      <c r="D43" s="252">
        <f t="shared" si="0"/>
        <v>1548</v>
      </c>
      <c r="E43" s="253">
        <f t="shared" si="1"/>
        <v>1.0013217657565707</v>
      </c>
    </row>
    <row r="44" spans="3:5" x14ac:dyDescent="0.25">
      <c r="C44" s="252">
        <v>30</v>
      </c>
      <c r="D44" s="252">
        <f t="shared" si="0"/>
        <v>1600</v>
      </c>
      <c r="E44" s="253">
        <f t="shared" si="1"/>
        <v>1.0017288219313412</v>
      </c>
    </row>
    <row r="45" spans="3:5" x14ac:dyDescent="0.25">
      <c r="C45" s="252">
        <v>31</v>
      </c>
      <c r="D45" s="252">
        <f t="shared" si="0"/>
        <v>1652</v>
      </c>
      <c r="E45" s="253">
        <f t="shared" si="1"/>
        <v>1.0021105527638192</v>
      </c>
    </row>
    <row r="46" spans="3:5" x14ac:dyDescent="0.25">
      <c r="C46" s="252">
        <v>32</v>
      </c>
      <c r="D46" s="252">
        <f t="shared" si="0"/>
        <v>1704</v>
      </c>
      <c r="E46" s="253">
        <f t="shared" si="1"/>
        <v>1.0024692504061268</v>
      </c>
    </row>
    <row r="47" spans="3:5" x14ac:dyDescent="0.25">
      <c r="C47" s="252">
        <v>33</v>
      </c>
      <c r="D47" s="252">
        <f t="shared" si="0"/>
        <v>1756</v>
      </c>
      <c r="E47" s="253">
        <f t="shared" si="1"/>
        <v>1.0028069384996621</v>
      </c>
    </row>
    <row r="48" spans="3:5" x14ac:dyDescent="0.25">
      <c r="C48" s="252">
        <v>34</v>
      </c>
      <c r="D48" s="252">
        <f t="shared" si="0"/>
        <v>1808</v>
      </c>
      <c r="E48" s="253">
        <f t="shared" si="1"/>
        <v>1.0031254103742615</v>
      </c>
    </row>
    <row r="49" spans="3:5" x14ac:dyDescent="0.25">
      <c r="C49" s="252">
        <v>35</v>
      </c>
      <c r="D49" s="252">
        <f t="shared" si="0"/>
        <v>1860</v>
      </c>
      <c r="E49" s="253">
        <f t="shared" si="1"/>
        <v>1.0034262609065758</v>
      </c>
    </row>
    <row r="50" spans="3:5" x14ac:dyDescent="0.25">
      <c r="C50" s="252">
        <v>36</v>
      </c>
      <c r="D50" s="252">
        <f t="shared" si="0"/>
        <v>1912</v>
      </c>
      <c r="E50" s="253">
        <f t="shared" si="1"/>
        <v>1.0037109132325535</v>
      </c>
    </row>
    <row r="51" spans="3:5" x14ac:dyDescent="0.25">
      <c r="C51" s="252">
        <v>37</v>
      </c>
      <c r="D51" s="252">
        <f t="shared" si="0"/>
        <v>1964</v>
      </c>
      <c r="E51" s="253">
        <f t="shared" si="1"/>
        <v>1.0039806412583183</v>
      </c>
    </row>
    <row r="52" spans="3:5" x14ac:dyDescent="0.25">
      <c r="C52" s="252">
        <v>38</v>
      </c>
      <c r="D52" s="252">
        <f t="shared" si="0"/>
        <v>2016</v>
      </c>
      <c r="E52" s="253">
        <f t="shared" si="1"/>
        <v>1.0042365887207703</v>
      </c>
    </row>
    <row r="53" spans="3:5" x14ac:dyDescent="0.25">
      <c r="C53" s="252">
        <v>39</v>
      </c>
      <c r="D53" s="252">
        <f t="shared" si="0"/>
        <v>2068</v>
      </c>
      <c r="E53" s="253">
        <f t="shared" si="1"/>
        <v>1.004479785399502</v>
      </c>
    </row>
    <row r="54" spans="3:5" x14ac:dyDescent="0.25">
      <c r="C54" s="252">
        <v>40</v>
      </c>
      <c r="D54" s="252">
        <f t="shared" si="0"/>
        <v>2120</v>
      </c>
      <c r="E54" s="253">
        <f t="shared" si="1"/>
        <v>1.0047111609646662</v>
      </c>
    </row>
    <row r="55" spans="3:5" x14ac:dyDescent="0.25">
      <c r="C55" s="252">
        <v>41</v>
      </c>
      <c r="D55" s="252">
        <f t="shared" si="0"/>
        <v>2172</v>
      </c>
      <c r="E55" s="253">
        <f t="shared" si="1"/>
        <v>1.0049315568534405</v>
      </c>
    </row>
    <row r="56" spans="3:5" x14ac:dyDescent="0.25">
      <c r="C56" s="252">
        <v>42</v>
      </c>
      <c r="D56" s="252">
        <f t="shared" si="0"/>
        <v>2224</v>
      </c>
      <c r="E56" s="253">
        <f t="shared" si="1"/>
        <v>1.0051417364949189</v>
      </c>
    </row>
    <row r="57" spans="3:5" x14ac:dyDescent="0.25">
      <c r="C57" s="252">
        <v>43</v>
      </c>
      <c r="D57" s="252">
        <f t="shared" si="0"/>
        <v>2276</v>
      </c>
      <c r="E57" s="253">
        <f t="shared" si="1"/>
        <v>1.0053423941453214</v>
      </c>
    </row>
    <row r="58" spans="3:5" x14ac:dyDescent="0.25">
      <c r="C58" s="252">
        <v>44</v>
      </c>
      <c r="D58" s="252">
        <f t="shared" si="0"/>
        <v>2328</v>
      </c>
      <c r="E58" s="253">
        <f t="shared" si="1"/>
        <v>1.0055341625489862</v>
      </c>
    </row>
    <row r="59" spans="3:5" x14ac:dyDescent="0.25">
      <c r="C59" s="252">
        <v>45</v>
      </c>
      <c r="D59" s="252">
        <f t="shared" si="0"/>
        <v>2380</v>
      </c>
      <c r="E59" s="253">
        <f t="shared" si="1"/>
        <v>1.0057176196032673</v>
      </c>
    </row>
    <row r="60" spans="3:5" x14ac:dyDescent="0.25">
      <c r="C60" s="252">
        <v>46</v>
      </c>
      <c r="D60" s="252">
        <f t="shared" si="0"/>
        <v>2432</v>
      </c>
      <c r="E60" s="253">
        <f t="shared" si="1"/>
        <v>1.0058932941752325</v>
      </c>
    </row>
    <row r="61" spans="3:5" x14ac:dyDescent="0.25">
      <c r="C61" s="252">
        <v>47</v>
      </c>
      <c r="D61" s="252">
        <f t="shared" si="0"/>
        <v>2484</v>
      </c>
      <c r="E61" s="253">
        <f t="shared" si="1"/>
        <v>1.0060616711934813</v>
      </c>
    </row>
    <row r="62" spans="3:5" x14ac:dyDescent="0.25">
      <c r="C62" s="252">
        <v>48</v>
      </c>
      <c r="D62" s="252">
        <f t="shared" si="0"/>
        <v>2536</v>
      </c>
      <c r="E62" s="253">
        <f t="shared" si="1"/>
        <v>1.0062231961183283</v>
      </c>
    </row>
    <row r="63" spans="3:5" x14ac:dyDescent="0.25">
      <c r="C63" s="254">
        <v>49</v>
      </c>
      <c r="D63" s="254">
        <f t="shared" si="0"/>
        <v>2588</v>
      </c>
      <c r="E63" s="255">
        <f t="shared" si="1"/>
        <v>1.0063782788771285</v>
      </c>
    </row>
    <row r="64" spans="3:5" x14ac:dyDescent="0.25">
      <c r="C64" s="254">
        <v>50</v>
      </c>
      <c r="D64" s="254">
        <f t="shared" si="0"/>
        <v>2640</v>
      </c>
      <c r="E64" s="255">
        <f t="shared" si="1"/>
        <v>1.0065272973379455</v>
      </c>
    </row>
    <row r="65" spans="3:5" x14ac:dyDescent="0.25">
      <c r="C65" s="252">
        <v>51</v>
      </c>
      <c r="D65" s="252">
        <f t="shared" si="0"/>
        <v>2692</v>
      </c>
      <c r="E65" s="253">
        <f t="shared" si="1"/>
        <v>1.0066706003835375</v>
      </c>
    </row>
    <row r="66" spans="3:5" x14ac:dyDescent="0.25">
      <c r="C66" s="252">
        <v>52</v>
      </c>
      <c r="D66" s="252">
        <f t="shared" si="0"/>
        <v>2744</v>
      </c>
      <c r="E66" s="253">
        <f t="shared" si="1"/>
        <v>1.006808510638298</v>
      </c>
    </row>
    <row r="67" spans="3:5" x14ac:dyDescent="0.25">
      <c r="C67" s="252">
        <v>53</v>
      </c>
      <c r="D67" s="252">
        <f t="shared" si="0"/>
        <v>2796</v>
      </c>
      <c r="E67" s="253">
        <f t="shared" si="1"/>
        <v>1.0069413268930247</v>
      </c>
    </row>
    <row r="68" spans="3:5" x14ac:dyDescent="0.25">
      <c r="C68" s="252">
        <v>54</v>
      </c>
      <c r="D68" s="252">
        <f t="shared" si="0"/>
        <v>2848</v>
      </c>
      <c r="E68" s="253">
        <f t="shared" si="1"/>
        <v>1.007069326265867</v>
      </c>
    </row>
    <row r="69" spans="3:5" x14ac:dyDescent="0.25">
      <c r="C69" s="252">
        <v>55</v>
      </c>
      <c r="D69" s="252">
        <f t="shared" si="0"/>
        <v>2900</v>
      </c>
      <c r="E69" s="253">
        <f t="shared" si="1"/>
        <v>1.007192766132347</v>
      </c>
    </row>
    <row r="70" spans="3:5" x14ac:dyDescent="0.25">
      <c r="C70" s="252">
        <v>56</v>
      </c>
      <c r="D70" s="252">
        <f t="shared" si="0"/>
        <v>2952</v>
      </c>
      <c r="E70" s="253">
        <f t="shared" si="1"/>
        <v>1.0073118858527392</v>
      </c>
    </row>
    <row r="71" spans="3:5" x14ac:dyDescent="0.25">
      <c r="C71" s="252">
        <v>57</v>
      </c>
      <c r="D71" s="252">
        <f t="shared" si="0"/>
        <v>3004</v>
      </c>
      <c r="E71" s="253">
        <f t="shared" si="1"/>
        <v>1.0074269083212066</v>
      </c>
    </row>
    <row r="72" spans="3:5" x14ac:dyDescent="0.25">
      <c r="C72" s="254">
        <v>58</v>
      </c>
      <c r="D72" s="254">
        <f t="shared" si="0"/>
        <v>3056</v>
      </c>
      <c r="E72" s="255">
        <f t="shared" si="1"/>
        <v>1.0075380413577839</v>
      </c>
    </row>
    <row r="73" spans="3:5" x14ac:dyDescent="0.25">
      <c r="C73" s="252">
        <v>59</v>
      </c>
      <c r="D73" s="252">
        <f t="shared" si="0"/>
        <v>3108</v>
      </c>
      <c r="E73" s="253">
        <f t="shared" si="1"/>
        <v>1.0076454789615041</v>
      </c>
    </row>
    <row r="74" spans="3:5" s="256" customFormat="1" x14ac:dyDescent="0.25">
      <c r="C74" s="254">
        <v>60</v>
      </c>
      <c r="D74" s="254">
        <f t="shared" si="0"/>
        <v>3160</v>
      </c>
      <c r="E74" s="255">
        <f t="shared" si="1"/>
        <v>1.0077494024405587</v>
      </c>
    </row>
  </sheetData>
  <mergeCells count="2">
    <mergeCell ref="C6:C8"/>
    <mergeCell ref="D6:D8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C2:E74"/>
  <sheetViews>
    <sheetView topLeftCell="A17" zoomScale="98" zoomScaleNormal="98" workbookViewId="0">
      <selection activeCell="E22" sqref="E22"/>
    </sheetView>
  </sheetViews>
  <sheetFormatPr defaultColWidth="9.140625" defaultRowHeight="15.75" x14ac:dyDescent="0.25"/>
  <cols>
    <col min="1" max="2" width="9.140625" style="249"/>
    <col min="3" max="3" width="18.28515625" style="249" customWidth="1"/>
    <col min="4" max="4" width="23.7109375" style="249" customWidth="1"/>
    <col min="5" max="5" width="36.42578125" style="249" customWidth="1"/>
    <col min="6" max="16384" width="9.140625" style="249"/>
  </cols>
  <sheetData>
    <row r="2" spans="3:5" x14ac:dyDescent="0.25">
      <c r="C2" s="252"/>
      <c r="D2" s="252" t="s">
        <v>78</v>
      </c>
      <c r="E2" s="252"/>
    </row>
    <row r="3" spans="3:5" ht="63" x14ac:dyDescent="0.25">
      <c r="C3" s="257" t="s">
        <v>364</v>
      </c>
      <c r="D3" s="258" t="s">
        <v>351</v>
      </c>
      <c r="E3" s="258" t="s">
        <v>365</v>
      </c>
    </row>
    <row r="4" spans="3:5" ht="47.25" x14ac:dyDescent="0.25">
      <c r="C4" s="257" t="s">
        <v>366</v>
      </c>
      <c r="D4" s="257" t="s">
        <v>367</v>
      </c>
      <c r="E4" s="252"/>
    </row>
    <row r="6" spans="3:5" ht="15.75" customHeight="1" x14ac:dyDescent="0.25">
      <c r="C6" s="349" t="s">
        <v>60</v>
      </c>
      <c r="D6" s="350" t="s">
        <v>355</v>
      </c>
      <c r="E6" s="251" t="s">
        <v>368</v>
      </c>
    </row>
    <row r="7" spans="3:5" x14ac:dyDescent="0.25">
      <c r="C7" s="349"/>
      <c r="D7" s="350"/>
      <c r="E7" s="251" t="s">
        <v>357</v>
      </c>
    </row>
    <row r="8" spans="3:5" x14ac:dyDescent="0.25">
      <c r="C8" s="349"/>
      <c r="D8" s="350"/>
      <c r="E8" s="252" t="s">
        <v>358</v>
      </c>
    </row>
    <row r="9" spans="3:5" x14ac:dyDescent="0.25">
      <c r="C9" s="252">
        <v>0.1</v>
      </c>
      <c r="D9" s="252">
        <f>(C9*52)+40</f>
        <v>45.2</v>
      </c>
      <c r="E9" s="253">
        <f>1*EXP(LN((1.65*10^-8)/1)*EXP(-0.09376*D9))</f>
        <v>0.77204535272321373</v>
      </c>
    </row>
    <row r="10" spans="3:5" x14ac:dyDescent="0.25">
      <c r="C10" s="252">
        <v>0.25</v>
      </c>
      <c r="D10" s="252">
        <f t="shared" ref="D10:D74" si="0">(C10*52)+40</f>
        <v>53</v>
      </c>
      <c r="E10" s="253">
        <f>1*EXP(LN((1.65*10^-8)/1)*EXP(-0.09376*D10))</f>
        <v>0.88292928068671228</v>
      </c>
    </row>
    <row r="11" spans="3:5" s="256" customFormat="1" x14ac:dyDescent="0.25">
      <c r="C11" s="254">
        <v>0.5</v>
      </c>
      <c r="D11" s="254">
        <f t="shared" si="0"/>
        <v>66</v>
      </c>
      <c r="E11" s="255">
        <f t="shared" ref="E11:E74" si="1">1*EXP(LN((1.65*10^-8)/1)*EXP(-0.09376*D11))</f>
        <v>0.96386855055928622</v>
      </c>
    </row>
    <row r="12" spans="3:5" s="256" customFormat="1" x14ac:dyDescent="0.25">
      <c r="C12" s="254">
        <v>1</v>
      </c>
      <c r="D12" s="254">
        <f t="shared" si="0"/>
        <v>92</v>
      </c>
      <c r="E12" s="255">
        <f t="shared" si="1"/>
        <v>0.99679041877303731</v>
      </c>
    </row>
    <row r="13" spans="3:5" s="256" customFormat="1" x14ac:dyDescent="0.25">
      <c r="C13" s="254">
        <v>1.5</v>
      </c>
      <c r="D13" s="254">
        <f t="shared" si="0"/>
        <v>118</v>
      </c>
      <c r="E13" s="255">
        <f t="shared" si="1"/>
        <v>0.9997192113422102</v>
      </c>
    </row>
    <row r="14" spans="3:5" x14ac:dyDescent="0.25">
      <c r="C14" s="254">
        <v>2</v>
      </c>
      <c r="D14" s="254">
        <f t="shared" si="0"/>
        <v>144</v>
      </c>
      <c r="E14" s="255">
        <f t="shared" si="1"/>
        <v>0.99997546819537664</v>
      </c>
    </row>
    <row r="15" spans="3:5" x14ac:dyDescent="0.25">
      <c r="C15" s="254">
        <v>3</v>
      </c>
      <c r="D15" s="254">
        <f t="shared" si="0"/>
        <v>196</v>
      </c>
      <c r="E15" s="255">
        <f t="shared" si="1"/>
        <v>0.99999981279245365</v>
      </c>
    </row>
    <row r="16" spans="3:5" x14ac:dyDescent="0.25">
      <c r="C16" s="254">
        <v>4</v>
      </c>
      <c r="D16" s="254">
        <f t="shared" si="0"/>
        <v>248</v>
      </c>
      <c r="E16" s="255">
        <f t="shared" si="1"/>
        <v>0.99999999857139565</v>
      </c>
    </row>
    <row r="17" spans="3:5" x14ac:dyDescent="0.25">
      <c r="C17" s="254">
        <v>4.5</v>
      </c>
      <c r="D17" s="254">
        <f t="shared" si="0"/>
        <v>274</v>
      </c>
      <c r="E17" s="255">
        <f t="shared" si="1"/>
        <v>0.99999999987520238</v>
      </c>
    </row>
    <row r="18" spans="3:5" s="256" customFormat="1" x14ac:dyDescent="0.25">
      <c r="C18" s="254">
        <v>5</v>
      </c>
      <c r="D18" s="254">
        <f t="shared" si="0"/>
        <v>300</v>
      </c>
      <c r="E18" s="255">
        <f t="shared" si="1"/>
        <v>0.99999999998909817</v>
      </c>
    </row>
    <row r="19" spans="3:5" x14ac:dyDescent="0.25">
      <c r="C19" s="254">
        <v>6</v>
      </c>
      <c r="D19" s="254">
        <f t="shared" si="0"/>
        <v>352</v>
      </c>
      <c r="E19" s="255">
        <f t="shared" si="1"/>
        <v>0.99999999999991684</v>
      </c>
    </row>
    <row r="20" spans="3:5" x14ac:dyDescent="0.25">
      <c r="C20" s="252">
        <v>7</v>
      </c>
      <c r="D20" s="252">
        <f t="shared" si="0"/>
        <v>404</v>
      </c>
      <c r="E20" s="253">
        <f t="shared" si="1"/>
        <v>0.99999999999999933</v>
      </c>
    </row>
    <row r="21" spans="3:5" x14ac:dyDescent="0.25">
      <c r="C21" s="252">
        <v>8</v>
      </c>
      <c r="D21" s="252">
        <f t="shared" si="0"/>
        <v>456</v>
      </c>
      <c r="E21" s="253">
        <f t="shared" si="1"/>
        <v>1</v>
      </c>
    </row>
    <row r="22" spans="3:5" x14ac:dyDescent="0.25">
      <c r="C22" s="252">
        <v>9</v>
      </c>
      <c r="D22" s="252">
        <f t="shared" si="0"/>
        <v>508</v>
      </c>
      <c r="E22" s="253">
        <f t="shared" si="1"/>
        <v>1</v>
      </c>
    </row>
    <row r="23" spans="3:5" s="256" customFormat="1" x14ac:dyDescent="0.25">
      <c r="C23" s="252">
        <v>10</v>
      </c>
      <c r="D23" s="252">
        <f t="shared" si="0"/>
        <v>560</v>
      </c>
      <c r="E23" s="253">
        <f t="shared" si="1"/>
        <v>1</v>
      </c>
    </row>
    <row r="24" spans="3:5" s="256" customFormat="1" x14ac:dyDescent="0.25">
      <c r="C24" s="254">
        <v>10.3</v>
      </c>
      <c r="D24" s="254">
        <f t="shared" si="0"/>
        <v>575.6</v>
      </c>
      <c r="E24" s="255">
        <f t="shared" si="1"/>
        <v>1</v>
      </c>
    </row>
    <row r="25" spans="3:5" x14ac:dyDescent="0.25">
      <c r="C25" s="252">
        <v>11</v>
      </c>
      <c r="D25" s="252">
        <f t="shared" si="0"/>
        <v>612</v>
      </c>
      <c r="E25" s="253">
        <f t="shared" si="1"/>
        <v>1</v>
      </c>
    </row>
    <row r="26" spans="3:5" x14ac:dyDescent="0.25">
      <c r="C26" s="254">
        <v>12</v>
      </c>
      <c r="D26" s="254">
        <f t="shared" si="0"/>
        <v>664</v>
      </c>
      <c r="E26" s="255">
        <f t="shared" si="1"/>
        <v>1</v>
      </c>
    </row>
    <row r="27" spans="3:5" x14ac:dyDescent="0.25">
      <c r="C27" s="254">
        <v>13</v>
      </c>
      <c r="D27" s="254">
        <f t="shared" si="0"/>
        <v>716</v>
      </c>
      <c r="E27" s="255">
        <f t="shared" si="1"/>
        <v>1</v>
      </c>
    </row>
    <row r="28" spans="3:5" x14ac:dyDescent="0.25">
      <c r="C28" s="252">
        <v>14</v>
      </c>
      <c r="D28" s="252">
        <f t="shared" si="0"/>
        <v>768</v>
      </c>
      <c r="E28" s="253">
        <f t="shared" si="1"/>
        <v>1</v>
      </c>
    </row>
    <row r="29" spans="3:5" x14ac:dyDescent="0.25">
      <c r="C29" s="254">
        <v>15</v>
      </c>
      <c r="D29" s="254">
        <f t="shared" si="0"/>
        <v>820</v>
      </c>
      <c r="E29" s="255">
        <f t="shared" si="1"/>
        <v>1</v>
      </c>
    </row>
    <row r="30" spans="3:5" x14ac:dyDescent="0.25">
      <c r="C30" s="252">
        <v>16</v>
      </c>
      <c r="D30" s="252">
        <f t="shared" si="0"/>
        <v>872</v>
      </c>
      <c r="E30" s="253">
        <f t="shared" si="1"/>
        <v>1</v>
      </c>
    </row>
    <row r="31" spans="3:5" x14ac:dyDescent="0.25">
      <c r="C31" s="252">
        <v>17</v>
      </c>
      <c r="D31" s="252">
        <f t="shared" si="0"/>
        <v>924</v>
      </c>
      <c r="E31" s="253">
        <f t="shared" si="1"/>
        <v>1</v>
      </c>
    </row>
    <row r="32" spans="3:5" x14ac:dyDescent="0.25">
      <c r="C32" s="252">
        <v>18</v>
      </c>
      <c r="D32" s="252">
        <f t="shared" si="0"/>
        <v>976</v>
      </c>
      <c r="E32" s="253">
        <f t="shared" si="1"/>
        <v>1</v>
      </c>
    </row>
    <row r="33" spans="3:5" x14ac:dyDescent="0.25">
      <c r="C33" s="254">
        <v>19</v>
      </c>
      <c r="D33" s="254">
        <f t="shared" si="0"/>
        <v>1028</v>
      </c>
      <c r="E33" s="255">
        <f t="shared" si="1"/>
        <v>1</v>
      </c>
    </row>
    <row r="34" spans="3:5" x14ac:dyDescent="0.25">
      <c r="C34" s="254">
        <v>20</v>
      </c>
      <c r="D34" s="254">
        <f t="shared" si="0"/>
        <v>1080</v>
      </c>
      <c r="E34" s="255">
        <f t="shared" si="1"/>
        <v>1</v>
      </c>
    </row>
    <row r="35" spans="3:5" x14ac:dyDescent="0.25">
      <c r="C35" s="252">
        <v>21</v>
      </c>
      <c r="D35" s="252">
        <f t="shared" si="0"/>
        <v>1132</v>
      </c>
      <c r="E35" s="253">
        <f t="shared" si="1"/>
        <v>1</v>
      </c>
    </row>
    <row r="36" spans="3:5" x14ac:dyDescent="0.25">
      <c r="C36" s="252">
        <v>22</v>
      </c>
      <c r="D36" s="252">
        <f t="shared" si="0"/>
        <v>1184</v>
      </c>
      <c r="E36" s="253">
        <f t="shared" si="1"/>
        <v>1</v>
      </c>
    </row>
    <row r="37" spans="3:5" x14ac:dyDescent="0.25">
      <c r="C37" s="252">
        <v>23</v>
      </c>
      <c r="D37" s="252">
        <f t="shared" si="0"/>
        <v>1236</v>
      </c>
      <c r="E37" s="253">
        <f t="shared" si="1"/>
        <v>1</v>
      </c>
    </row>
    <row r="38" spans="3:5" x14ac:dyDescent="0.25">
      <c r="C38" s="252">
        <v>24</v>
      </c>
      <c r="D38" s="252">
        <f t="shared" si="0"/>
        <v>1288</v>
      </c>
      <c r="E38" s="253">
        <f t="shared" si="1"/>
        <v>1</v>
      </c>
    </row>
    <row r="39" spans="3:5" s="256" customFormat="1" x14ac:dyDescent="0.25">
      <c r="C39" s="254">
        <v>25</v>
      </c>
      <c r="D39" s="254">
        <f t="shared" si="0"/>
        <v>1340</v>
      </c>
      <c r="E39" s="255">
        <f t="shared" si="1"/>
        <v>1</v>
      </c>
    </row>
    <row r="40" spans="3:5" x14ac:dyDescent="0.25">
      <c r="C40" s="252">
        <v>26</v>
      </c>
      <c r="D40" s="252">
        <f t="shared" si="0"/>
        <v>1392</v>
      </c>
      <c r="E40" s="253">
        <f t="shared" si="1"/>
        <v>1</v>
      </c>
    </row>
    <row r="41" spans="3:5" x14ac:dyDescent="0.25">
      <c r="C41" s="252">
        <v>27</v>
      </c>
      <c r="D41" s="252">
        <f t="shared" si="0"/>
        <v>1444</v>
      </c>
      <c r="E41" s="253">
        <f t="shared" si="1"/>
        <v>1</v>
      </c>
    </row>
    <row r="42" spans="3:5" x14ac:dyDescent="0.25">
      <c r="C42" s="252">
        <v>28</v>
      </c>
      <c r="D42" s="252">
        <f t="shared" si="0"/>
        <v>1496</v>
      </c>
      <c r="E42" s="253">
        <f t="shared" si="1"/>
        <v>1</v>
      </c>
    </row>
    <row r="43" spans="3:5" x14ac:dyDescent="0.25">
      <c r="C43" s="252">
        <v>29</v>
      </c>
      <c r="D43" s="252">
        <f t="shared" si="0"/>
        <v>1548</v>
      </c>
      <c r="E43" s="253">
        <f t="shared" si="1"/>
        <v>1</v>
      </c>
    </row>
    <row r="44" spans="3:5" x14ac:dyDescent="0.25">
      <c r="C44" s="252">
        <v>30</v>
      </c>
      <c r="D44" s="252">
        <f t="shared" si="0"/>
        <v>1600</v>
      </c>
      <c r="E44" s="253">
        <f t="shared" si="1"/>
        <v>1</v>
      </c>
    </row>
    <row r="45" spans="3:5" x14ac:dyDescent="0.25">
      <c r="C45" s="252">
        <v>31</v>
      </c>
      <c r="D45" s="252">
        <f t="shared" si="0"/>
        <v>1652</v>
      </c>
      <c r="E45" s="253">
        <f t="shared" si="1"/>
        <v>1</v>
      </c>
    </row>
    <row r="46" spans="3:5" x14ac:dyDescent="0.25">
      <c r="C46" s="252">
        <v>32</v>
      </c>
      <c r="D46" s="252">
        <f t="shared" si="0"/>
        <v>1704</v>
      </c>
      <c r="E46" s="253">
        <f t="shared" si="1"/>
        <v>1</v>
      </c>
    </row>
    <row r="47" spans="3:5" x14ac:dyDescent="0.25">
      <c r="C47" s="252">
        <v>33</v>
      </c>
      <c r="D47" s="252">
        <f t="shared" si="0"/>
        <v>1756</v>
      </c>
      <c r="E47" s="253">
        <f t="shared" si="1"/>
        <v>1</v>
      </c>
    </row>
    <row r="48" spans="3:5" x14ac:dyDescent="0.25">
      <c r="C48" s="252">
        <v>34</v>
      </c>
      <c r="D48" s="252">
        <f t="shared" si="0"/>
        <v>1808</v>
      </c>
      <c r="E48" s="253">
        <f t="shared" si="1"/>
        <v>1</v>
      </c>
    </row>
    <row r="49" spans="3:5" x14ac:dyDescent="0.25">
      <c r="C49" s="252">
        <v>35</v>
      </c>
      <c r="D49" s="252">
        <f t="shared" si="0"/>
        <v>1860</v>
      </c>
      <c r="E49" s="253">
        <f t="shared" si="1"/>
        <v>1</v>
      </c>
    </row>
    <row r="50" spans="3:5" x14ac:dyDescent="0.25">
      <c r="C50" s="252">
        <v>36</v>
      </c>
      <c r="D50" s="252">
        <f t="shared" si="0"/>
        <v>1912</v>
      </c>
      <c r="E50" s="253">
        <f t="shared" si="1"/>
        <v>1</v>
      </c>
    </row>
    <row r="51" spans="3:5" x14ac:dyDescent="0.25">
      <c r="C51" s="252">
        <v>37</v>
      </c>
      <c r="D51" s="252">
        <f t="shared" si="0"/>
        <v>1964</v>
      </c>
      <c r="E51" s="253">
        <f t="shared" si="1"/>
        <v>1</v>
      </c>
    </row>
    <row r="52" spans="3:5" x14ac:dyDescent="0.25">
      <c r="C52" s="252">
        <v>38</v>
      </c>
      <c r="D52" s="252">
        <f t="shared" si="0"/>
        <v>2016</v>
      </c>
      <c r="E52" s="253">
        <f t="shared" si="1"/>
        <v>1</v>
      </c>
    </row>
    <row r="53" spans="3:5" x14ac:dyDescent="0.25">
      <c r="C53" s="252">
        <v>39</v>
      </c>
      <c r="D53" s="252">
        <f t="shared" si="0"/>
        <v>2068</v>
      </c>
      <c r="E53" s="253">
        <f t="shared" si="1"/>
        <v>1</v>
      </c>
    </row>
    <row r="54" spans="3:5" x14ac:dyDescent="0.25">
      <c r="C54" s="252">
        <v>40</v>
      </c>
      <c r="D54" s="252">
        <f t="shared" si="0"/>
        <v>2120</v>
      </c>
      <c r="E54" s="253">
        <f t="shared" si="1"/>
        <v>1</v>
      </c>
    </row>
    <row r="55" spans="3:5" x14ac:dyDescent="0.25">
      <c r="C55" s="252">
        <v>41</v>
      </c>
      <c r="D55" s="252">
        <f t="shared" si="0"/>
        <v>2172</v>
      </c>
      <c r="E55" s="253">
        <f t="shared" si="1"/>
        <v>1</v>
      </c>
    </row>
    <row r="56" spans="3:5" x14ac:dyDescent="0.25">
      <c r="C56" s="252">
        <v>42</v>
      </c>
      <c r="D56" s="252">
        <f t="shared" si="0"/>
        <v>2224</v>
      </c>
      <c r="E56" s="253">
        <f t="shared" si="1"/>
        <v>1</v>
      </c>
    </row>
    <row r="57" spans="3:5" x14ac:dyDescent="0.25">
      <c r="C57" s="252">
        <v>43</v>
      </c>
      <c r="D57" s="252">
        <f t="shared" si="0"/>
        <v>2276</v>
      </c>
      <c r="E57" s="253">
        <f t="shared" si="1"/>
        <v>1</v>
      </c>
    </row>
    <row r="58" spans="3:5" x14ac:dyDescent="0.25">
      <c r="C58" s="252">
        <v>44</v>
      </c>
      <c r="D58" s="252">
        <f t="shared" si="0"/>
        <v>2328</v>
      </c>
      <c r="E58" s="253">
        <f t="shared" si="1"/>
        <v>1</v>
      </c>
    </row>
    <row r="59" spans="3:5" x14ac:dyDescent="0.25">
      <c r="C59" s="252">
        <v>45</v>
      </c>
      <c r="D59" s="252">
        <f t="shared" si="0"/>
        <v>2380</v>
      </c>
      <c r="E59" s="253">
        <f t="shared" si="1"/>
        <v>1</v>
      </c>
    </row>
    <row r="60" spans="3:5" x14ac:dyDescent="0.25">
      <c r="C60" s="252">
        <v>46</v>
      </c>
      <c r="D60" s="252">
        <f t="shared" si="0"/>
        <v>2432</v>
      </c>
      <c r="E60" s="253">
        <f t="shared" si="1"/>
        <v>1</v>
      </c>
    </row>
    <row r="61" spans="3:5" x14ac:dyDescent="0.25">
      <c r="C61" s="252">
        <v>47</v>
      </c>
      <c r="D61" s="252">
        <f t="shared" si="0"/>
        <v>2484</v>
      </c>
      <c r="E61" s="253">
        <f t="shared" si="1"/>
        <v>1</v>
      </c>
    </row>
    <row r="62" spans="3:5" x14ac:dyDescent="0.25">
      <c r="C62" s="252">
        <v>48</v>
      </c>
      <c r="D62" s="252">
        <f t="shared" si="0"/>
        <v>2536</v>
      </c>
      <c r="E62" s="253">
        <f t="shared" si="1"/>
        <v>1</v>
      </c>
    </row>
    <row r="63" spans="3:5" x14ac:dyDescent="0.25">
      <c r="C63" s="254">
        <v>49</v>
      </c>
      <c r="D63" s="254">
        <f t="shared" si="0"/>
        <v>2588</v>
      </c>
      <c r="E63" s="255">
        <f t="shared" si="1"/>
        <v>1</v>
      </c>
    </row>
    <row r="64" spans="3:5" x14ac:dyDescent="0.25">
      <c r="C64" s="254">
        <v>50</v>
      </c>
      <c r="D64" s="254">
        <f t="shared" si="0"/>
        <v>2640</v>
      </c>
      <c r="E64" s="255">
        <f t="shared" si="1"/>
        <v>1</v>
      </c>
    </row>
    <row r="65" spans="3:5" x14ac:dyDescent="0.25">
      <c r="C65" s="252">
        <v>51</v>
      </c>
      <c r="D65" s="252">
        <f t="shared" si="0"/>
        <v>2692</v>
      </c>
      <c r="E65" s="253">
        <f t="shared" si="1"/>
        <v>1</v>
      </c>
    </row>
    <row r="66" spans="3:5" x14ac:dyDescent="0.25">
      <c r="C66" s="252">
        <v>52</v>
      </c>
      <c r="D66" s="252">
        <f t="shared" si="0"/>
        <v>2744</v>
      </c>
      <c r="E66" s="253">
        <f t="shared" si="1"/>
        <v>1</v>
      </c>
    </row>
    <row r="67" spans="3:5" x14ac:dyDescent="0.25">
      <c r="C67" s="252">
        <v>53</v>
      </c>
      <c r="D67" s="252">
        <f t="shared" si="0"/>
        <v>2796</v>
      </c>
      <c r="E67" s="253">
        <f t="shared" si="1"/>
        <v>1</v>
      </c>
    </row>
    <row r="68" spans="3:5" x14ac:dyDescent="0.25">
      <c r="C68" s="252">
        <v>54</v>
      </c>
      <c r="D68" s="252">
        <f t="shared" si="0"/>
        <v>2848</v>
      </c>
      <c r="E68" s="253">
        <f t="shared" si="1"/>
        <v>1</v>
      </c>
    </row>
    <row r="69" spans="3:5" x14ac:dyDescent="0.25">
      <c r="C69" s="252">
        <v>55</v>
      </c>
      <c r="D69" s="252">
        <f t="shared" si="0"/>
        <v>2900</v>
      </c>
      <c r="E69" s="253">
        <f t="shared" si="1"/>
        <v>1</v>
      </c>
    </row>
    <row r="70" spans="3:5" x14ac:dyDescent="0.25">
      <c r="C70" s="252">
        <v>56</v>
      </c>
      <c r="D70" s="252">
        <f t="shared" si="0"/>
        <v>2952</v>
      </c>
      <c r="E70" s="253">
        <f t="shared" si="1"/>
        <v>1</v>
      </c>
    </row>
    <row r="71" spans="3:5" x14ac:dyDescent="0.25">
      <c r="C71" s="252">
        <v>57</v>
      </c>
      <c r="D71" s="252">
        <f t="shared" si="0"/>
        <v>3004</v>
      </c>
      <c r="E71" s="253">
        <f t="shared" si="1"/>
        <v>1</v>
      </c>
    </row>
    <row r="72" spans="3:5" x14ac:dyDescent="0.25">
      <c r="C72" s="254">
        <v>58</v>
      </c>
      <c r="D72" s="254">
        <f t="shared" si="0"/>
        <v>3056</v>
      </c>
      <c r="E72" s="255">
        <f t="shared" si="1"/>
        <v>1</v>
      </c>
    </row>
    <row r="73" spans="3:5" x14ac:dyDescent="0.25">
      <c r="C73" s="252">
        <v>59</v>
      </c>
      <c r="D73" s="252">
        <f t="shared" si="0"/>
        <v>3108</v>
      </c>
      <c r="E73" s="253">
        <f t="shared" si="1"/>
        <v>1</v>
      </c>
    </row>
    <row r="74" spans="3:5" s="256" customFormat="1" x14ac:dyDescent="0.25">
      <c r="C74" s="254">
        <v>60</v>
      </c>
      <c r="D74" s="254">
        <f t="shared" si="0"/>
        <v>3160</v>
      </c>
      <c r="E74" s="255">
        <f t="shared" si="1"/>
        <v>1</v>
      </c>
    </row>
  </sheetData>
  <mergeCells count="2">
    <mergeCell ref="C6:C8"/>
    <mergeCell ref="D6:D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7.Document" shapeId="21505" r:id="rId3">
          <objectPr defaultSize="0" autoPict="0" r:id="rId4">
            <anchor moveWithCells="1">
              <from>
                <xdr:col>8</xdr:col>
                <xdr:colOff>228600</xdr:colOff>
                <xdr:row>0</xdr:row>
                <xdr:rowOff>152400</xdr:rowOff>
              </from>
              <to>
                <xdr:col>16</xdr:col>
                <xdr:colOff>561975</xdr:colOff>
                <xdr:row>16</xdr:row>
                <xdr:rowOff>47625</xdr:rowOff>
              </to>
            </anchor>
          </objectPr>
        </oleObject>
      </mc:Choice>
      <mc:Fallback>
        <oleObject progId="Prism7.Document" shapeId="21505" r:id="rId3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C2:E74"/>
  <sheetViews>
    <sheetView topLeftCell="A13" zoomScale="98" zoomScaleNormal="98" workbookViewId="0">
      <selection activeCell="E22" sqref="E22"/>
    </sheetView>
  </sheetViews>
  <sheetFormatPr defaultColWidth="9.140625" defaultRowHeight="15.75" x14ac:dyDescent="0.25"/>
  <cols>
    <col min="1" max="2" width="9.140625" style="249"/>
    <col min="3" max="3" width="18.28515625" style="249" customWidth="1"/>
    <col min="4" max="4" width="23.7109375" style="249" customWidth="1"/>
    <col min="5" max="5" width="36.42578125" style="249" customWidth="1"/>
    <col min="6" max="16384" width="9.140625" style="249"/>
  </cols>
  <sheetData>
    <row r="2" spans="3:5" x14ac:dyDescent="0.25">
      <c r="C2" s="252"/>
      <c r="D2" s="252" t="s">
        <v>78</v>
      </c>
      <c r="E2" s="252"/>
    </row>
    <row r="3" spans="3:5" ht="63" x14ac:dyDescent="0.25">
      <c r="C3" s="257" t="s">
        <v>369</v>
      </c>
      <c r="D3" s="259" t="s">
        <v>351</v>
      </c>
      <c r="E3" s="259" t="s">
        <v>370</v>
      </c>
    </row>
    <row r="4" spans="3:5" ht="47.25" x14ac:dyDescent="0.25">
      <c r="C4" s="257" t="s">
        <v>371</v>
      </c>
      <c r="D4" s="257" t="s">
        <v>367</v>
      </c>
      <c r="E4" s="252"/>
    </row>
    <row r="6" spans="3:5" ht="15.75" customHeight="1" x14ac:dyDescent="0.25">
      <c r="C6" s="349" t="s">
        <v>60</v>
      </c>
      <c r="D6" s="350" t="s">
        <v>355</v>
      </c>
      <c r="E6" s="251" t="s">
        <v>372</v>
      </c>
    </row>
    <row r="7" spans="3:5" x14ac:dyDescent="0.25">
      <c r="C7" s="349"/>
      <c r="D7" s="350"/>
      <c r="E7" s="251" t="s">
        <v>357</v>
      </c>
    </row>
    <row r="8" spans="3:5" x14ac:dyDescent="0.25">
      <c r="C8" s="349"/>
      <c r="D8" s="350"/>
      <c r="E8" s="252" t="s">
        <v>358</v>
      </c>
    </row>
    <row r="9" spans="3:5" x14ac:dyDescent="0.25">
      <c r="C9" s="252">
        <v>0.1</v>
      </c>
      <c r="D9" s="252">
        <f>(C9*52)+40</f>
        <v>45.2</v>
      </c>
      <c r="E9" s="253">
        <f>0.9998*EXP(LN(0.02271*0.9998)*EXP(-0.03287*D9))</f>
        <v>0.42446537270795442</v>
      </c>
    </row>
    <row r="10" spans="3:5" x14ac:dyDescent="0.25">
      <c r="C10" s="252">
        <v>0.25</v>
      </c>
      <c r="D10" s="252">
        <f t="shared" ref="D10:D74" si="0">(C10*52)+40</f>
        <v>53</v>
      </c>
      <c r="E10" s="253">
        <f t="shared" ref="E10:E74" si="1">0.9998*EXP(LN(0.02271*0.9998)*EXP(-0.03287*D10))</f>
        <v>0.51521514443428496</v>
      </c>
    </row>
    <row r="11" spans="3:5" s="256" customFormat="1" x14ac:dyDescent="0.25">
      <c r="C11" s="254">
        <v>0.5</v>
      </c>
      <c r="D11" s="254">
        <f t="shared" si="0"/>
        <v>66</v>
      </c>
      <c r="E11" s="255">
        <f t="shared" si="1"/>
        <v>0.64880040179728071</v>
      </c>
    </row>
    <row r="12" spans="3:5" s="256" customFormat="1" x14ac:dyDescent="0.25">
      <c r="C12" s="254">
        <v>1</v>
      </c>
      <c r="D12" s="254">
        <f t="shared" si="0"/>
        <v>92</v>
      </c>
      <c r="E12" s="255">
        <f t="shared" si="1"/>
        <v>0.83179007323673171</v>
      </c>
    </row>
    <row r="13" spans="3:5" s="256" customFormat="1" x14ac:dyDescent="0.25">
      <c r="C13" s="254">
        <v>1.5</v>
      </c>
      <c r="D13" s="254">
        <f t="shared" si="0"/>
        <v>118</v>
      </c>
      <c r="E13" s="255">
        <f t="shared" si="1"/>
        <v>0.92452859071263938</v>
      </c>
    </row>
    <row r="14" spans="3:5" x14ac:dyDescent="0.25">
      <c r="C14" s="254">
        <v>2</v>
      </c>
      <c r="D14" s="254">
        <f t="shared" si="0"/>
        <v>144</v>
      </c>
      <c r="E14" s="255">
        <f t="shared" si="1"/>
        <v>0.96705478294102065</v>
      </c>
    </row>
    <row r="15" spans="3:5" x14ac:dyDescent="0.25">
      <c r="C15" s="254">
        <v>3</v>
      </c>
      <c r="D15" s="254">
        <f t="shared" si="0"/>
        <v>196</v>
      </c>
      <c r="E15" s="255">
        <f t="shared" si="1"/>
        <v>0.99379190000078788</v>
      </c>
    </row>
    <row r="16" spans="3:5" x14ac:dyDescent="0.25">
      <c r="C16" s="254">
        <v>4</v>
      </c>
      <c r="D16" s="254">
        <f t="shared" si="0"/>
        <v>248</v>
      </c>
      <c r="E16" s="255">
        <f t="shared" si="1"/>
        <v>0.9987098281795056</v>
      </c>
    </row>
    <row r="17" spans="3:5" x14ac:dyDescent="0.25">
      <c r="C17" s="254">
        <v>4.5</v>
      </c>
      <c r="D17" s="254">
        <f t="shared" si="0"/>
        <v>274</v>
      </c>
      <c r="E17" s="255">
        <f t="shared" si="1"/>
        <v>0.99933604666727482</v>
      </c>
    </row>
    <row r="18" spans="3:5" s="256" customFormat="1" x14ac:dyDescent="0.25">
      <c r="C18" s="254">
        <v>5</v>
      </c>
      <c r="D18" s="254">
        <f t="shared" si="0"/>
        <v>300</v>
      </c>
      <c r="E18" s="255">
        <f t="shared" si="1"/>
        <v>0.99960258713348515</v>
      </c>
    </row>
    <row r="19" spans="3:5" x14ac:dyDescent="0.25">
      <c r="C19" s="254">
        <v>6</v>
      </c>
      <c r="D19" s="254">
        <f t="shared" si="0"/>
        <v>352</v>
      </c>
      <c r="E19" s="255">
        <f t="shared" si="1"/>
        <v>0.99976426472959434</v>
      </c>
    </row>
    <row r="20" spans="3:5" x14ac:dyDescent="0.25">
      <c r="C20" s="252">
        <v>7</v>
      </c>
      <c r="D20" s="252">
        <f t="shared" si="0"/>
        <v>404</v>
      </c>
      <c r="E20" s="253">
        <f t="shared" si="1"/>
        <v>0.99979353170335405</v>
      </c>
    </row>
    <row r="21" spans="3:5" x14ac:dyDescent="0.25">
      <c r="C21" s="252">
        <v>8</v>
      </c>
      <c r="D21" s="252">
        <f t="shared" si="0"/>
        <v>456</v>
      </c>
      <c r="E21" s="253">
        <f t="shared" si="1"/>
        <v>0.99979882921384144</v>
      </c>
    </row>
    <row r="22" spans="3:5" x14ac:dyDescent="0.25">
      <c r="C22" s="252">
        <v>9</v>
      </c>
      <c r="D22" s="252">
        <f t="shared" si="0"/>
        <v>508</v>
      </c>
      <c r="E22" s="253">
        <f t="shared" si="1"/>
        <v>0.99979978808373682</v>
      </c>
    </row>
    <row r="23" spans="3:5" s="256" customFormat="1" x14ac:dyDescent="0.25">
      <c r="C23" s="252">
        <v>10</v>
      </c>
      <c r="D23" s="252">
        <f t="shared" si="0"/>
        <v>560</v>
      </c>
      <c r="E23" s="253">
        <f t="shared" si="1"/>
        <v>0.99979996164245311</v>
      </c>
    </row>
    <row r="24" spans="3:5" s="256" customFormat="1" x14ac:dyDescent="0.25">
      <c r="C24" s="254">
        <v>10.3</v>
      </c>
      <c r="D24" s="254">
        <f t="shared" si="0"/>
        <v>575.6</v>
      </c>
      <c r="E24" s="255">
        <f t="shared" si="1"/>
        <v>0.99979997703022305</v>
      </c>
    </row>
    <row r="25" spans="3:5" x14ac:dyDescent="0.25">
      <c r="C25" s="252">
        <v>11</v>
      </c>
      <c r="D25" s="252">
        <f t="shared" si="0"/>
        <v>612</v>
      </c>
      <c r="E25" s="253">
        <f t="shared" si="1"/>
        <v>0.99979999305715728</v>
      </c>
    </row>
    <row r="26" spans="3:5" x14ac:dyDescent="0.25">
      <c r="C26" s="254">
        <v>12</v>
      </c>
      <c r="D26" s="254">
        <f t="shared" si="0"/>
        <v>664</v>
      </c>
      <c r="E26" s="255">
        <f t="shared" si="1"/>
        <v>0.99979999874332248</v>
      </c>
    </row>
    <row r="27" spans="3:5" x14ac:dyDescent="0.25">
      <c r="C27" s="254">
        <v>13</v>
      </c>
      <c r="D27" s="254">
        <f t="shared" si="0"/>
        <v>716</v>
      </c>
      <c r="E27" s="255">
        <f t="shared" si="1"/>
        <v>0.99979999977253731</v>
      </c>
    </row>
    <row r="28" spans="3:5" x14ac:dyDescent="0.25">
      <c r="C28" s="252">
        <v>14</v>
      </c>
      <c r="D28" s="252">
        <f t="shared" si="0"/>
        <v>768</v>
      </c>
      <c r="E28" s="253">
        <f t="shared" si="1"/>
        <v>0.99979999995882851</v>
      </c>
    </row>
    <row r="29" spans="3:5" x14ac:dyDescent="0.25">
      <c r="C29" s="254">
        <v>15</v>
      </c>
      <c r="D29" s="254">
        <f t="shared" si="0"/>
        <v>820</v>
      </c>
      <c r="E29" s="255">
        <f t="shared" si="1"/>
        <v>0.99979999999254776</v>
      </c>
    </row>
    <row r="30" spans="3:5" x14ac:dyDescent="0.25">
      <c r="C30" s="252">
        <v>16</v>
      </c>
      <c r="D30" s="252">
        <f t="shared" si="0"/>
        <v>872</v>
      </c>
      <c r="E30" s="253">
        <f t="shared" si="1"/>
        <v>0.9997999999986511</v>
      </c>
    </row>
    <row r="31" spans="3:5" x14ac:dyDescent="0.25">
      <c r="C31" s="252">
        <v>17</v>
      </c>
      <c r="D31" s="252">
        <f t="shared" si="0"/>
        <v>924</v>
      </c>
      <c r="E31" s="253">
        <f t="shared" si="1"/>
        <v>0.99979999999975577</v>
      </c>
    </row>
    <row r="32" spans="3:5" x14ac:dyDescent="0.25">
      <c r="C32" s="252">
        <v>18</v>
      </c>
      <c r="D32" s="252">
        <f t="shared" si="0"/>
        <v>976</v>
      </c>
      <c r="E32" s="253">
        <f t="shared" si="1"/>
        <v>0.99979999999995584</v>
      </c>
    </row>
    <row r="33" spans="3:5" x14ac:dyDescent="0.25">
      <c r="C33" s="254">
        <v>19</v>
      </c>
      <c r="D33" s="254">
        <f t="shared" si="0"/>
        <v>1028</v>
      </c>
      <c r="E33" s="255">
        <f t="shared" si="1"/>
        <v>0.99979999999999203</v>
      </c>
    </row>
    <row r="34" spans="3:5" x14ac:dyDescent="0.25">
      <c r="C34" s="254">
        <v>20</v>
      </c>
      <c r="D34" s="254">
        <f t="shared" si="0"/>
        <v>1080</v>
      </c>
      <c r="E34" s="255">
        <f t="shared" si="1"/>
        <v>0.99979999999999858</v>
      </c>
    </row>
    <row r="35" spans="3:5" x14ac:dyDescent="0.25">
      <c r="C35" s="252">
        <v>21</v>
      </c>
      <c r="D35" s="252">
        <f t="shared" si="0"/>
        <v>1132</v>
      </c>
      <c r="E35" s="253">
        <f t="shared" si="1"/>
        <v>0.9997999999999998</v>
      </c>
    </row>
    <row r="36" spans="3:5" x14ac:dyDescent="0.25">
      <c r="C36" s="252">
        <v>22</v>
      </c>
      <c r="D36" s="252">
        <f t="shared" si="0"/>
        <v>1184</v>
      </c>
      <c r="E36" s="253">
        <f t="shared" si="1"/>
        <v>0.99980000000000002</v>
      </c>
    </row>
    <row r="37" spans="3:5" x14ac:dyDescent="0.25">
      <c r="C37" s="252">
        <v>23</v>
      </c>
      <c r="D37" s="252">
        <f t="shared" si="0"/>
        <v>1236</v>
      </c>
      <c r="E37" s="253">
        <f t="shared" si="1"/>
        <v>0.99980000000000002</v>
      </c>
    </row>
    <row r="38" spans="3:5" x14ac:dyDescent="0.25">
      <c r="C38" s="252">
        <v>24</v>
      </c>
      <c r="D38" s="252">
        <f t="shared" si="0"/>
        <v>1288</v>
      </c>
      <c r="E38" s="253">
        <f t="shared" si="1"/>
        <v>0.99980000000000002</v>
      </c>
    </row>
    <row r="39" spans="3:5" s="256" customFormat="1" x14ac:dyDescent="0.25">
      <c r="C39" s="254">
        <v>25</v>
      </c>
      <c r="D39" s="254">
        <f t="shared" si="0"/>
        <v>1340</v>
      </c>
      <c r="E39" s="255">
        <f t="shared" si="1"/>
        <v>0.99980000000000002</v>
      </c>
    </row>
    <row r="40" spans="3:5" x14ac:dyDescent="0.25">
      <c r="C40" s="252">
        <v>26</v>
      </c>
      <c r="D40" s="252">
        <f t="shared" si="0"/>
        <v>1392</v>
      </c>
      <c r="E40" s="253">
        <f t="shared" si="1"/>
        <v>0.99980000000000002</v>
      </c>
    </row>
    <row r="41" spans="3:5" x14ac:dyDescent="0.25">
      <c r="C41" s="252">
        <v>27</v>
      </c>
      <c r="D41" s="252">
        <f t="shared" si="0"/>
        <v>1444</v>
      </c>
      <c r="E41" s="253">
        <f t="shared" si="1"/>
        <v>0.99980000000000002</v>
      </c>
    </row>
    <row r="42" spans="3:5" x14ac:dyDescent="0.25">
      <c r="C42" s="252">
        <v>28</v>
      </c>
      <c r="D42" s="252">
        <f t="shared" si="0"/>
        <v>1496</v>
      </c>
      <c r="E42" s="253">
        <f t="shared" si="1"/>
        <v>0.99980000000000002</v>
      </c>
    </row>
    <row r="43" spans="3:5" x14ac:dyDescent="0.25">
      <c r="C43" s="252">
        <v>29</v>
      </c>
      <c r="D43" s="252">
        <f t="shared" si="0"/>
        <v>1548</v>
      </c>
      <c r="E43" s="253">
        <f t="shared" si="1"/>
        <v>0.99980000000000002</v>
      </c>
    </row>
    <row r="44" spans="3:5" x14ac:dyDescent="0.25">
      <c r="C44" s="252">
        <v>30</v>
      </c>
      <c r="D44" s="252">
        <f t="shared" si="0"/>
        <v>1600</v>
      </c>
      <c r="E44" s="253">
        <f t="shared" si="1"/>
        <v>0.99980000000000002</v>
      </c>
    </row>
    <row r="45" spans="3:5" x14ac:dyDescent="0.25">
      <c r="C45" s="252">
        <v>31</v>
      </c>
      <c r="D45" s="252">
        <f t="shared" si="0"/>
        <v>1652</v>
      </c>
      <c r="E45" s="253">
        <f t="shared" si="1"/>
        <v>0.99980000000000002</v>
      </c>
    </row>
    <row r="46" spans="3:5" x14ac:dyDescent="0.25">
      <c r="C46" s="252">
        <v>32</v>
      </c>
      <c r="D46" s="252">
        <f t="shared" si="0"/>
        <v>1704</v>
      </c>
      <c r="E46" s="253">
        <f t="shared" si="1"/>
        <v>0.99980000000000002</v>
      </c>
    </row>
    <row r="47" spans="3:5" x14ac:dyDescent="0.25">
      <c r="C47" s="252">
        <v>33</v>
      </c>
      <c r="D47" s="252">
        <f t="shared" si="0"/>
        <v>1756</v>
      </c>
      <c r="E47" s="253">
        <f t="shared" si="1"/>
        <v>0.99980000000000002</v>
      </c>
    </row>
    <row r="48" spans="3:5" x14ac:dyDescent="0.25">
      <c r="C48" s="252">
        <v>34</v>
      </c>
      <c r="D48" s="252">
        <f t="shared" si="0"/>
        <v>1808</v>
      </c>
      <c r="E48" s="253">
        <f t="shared" si="1"/>
        <v>0.99980000000000002</v>
      </c>
    </row>
    <row r="49" spans="3:5" x14ac:dyDescent="0.25">
      <c r="C49" s="252">
        <v>35</v>
      </c>
      <c r="D49" s="252">
        <f t="shared" si="0"/>
        <v>1860</v>
      </c>
      <c r="E49" s="253">
        <f t="shared" si="1"/>
        <v>0.99980000000000002</v>
      </c>
    </row>
    <row r="50" spans="3:5" x14ac:dyDescent="0.25">
      <c r="C50" s="252">
        <v>36</v>
      </c>
      <c r="D50" s="252">
        <f t="shared" si="0"/>
        <v>1912</v>
      </c>
      <c r="E50" s="253">
        <f t="shared" si="1"/>
        <v>0.99980000000000002</v>
      </c>
    </row>
    <row r="51" spans="3:5" x14ac:dyDescent="0.25">
      <c r="C51" s="252">
        <v>37</v>
      </c>
      <c r="D51" s="252">
        <f t="shared" si="0"/>
        <v>1964</v>
      </c>
      <c r="E51" s="253">
        <f t="shared" si="1"/>
        <v>0.99980000000000002</v>
      </c>
    </row>
    <row r="52" spans="3:5" x14ac:dyDescent="0.25">
      <c r="C52" s="252">
        <v>38</v>
      </c>
      <c r="D52" s="252">
        <f t="shared" si="0"/>
        <v>2016</v>
      </c>
      <c r="E52" s="253">
        <f t="shared" si="1"/>
        <v>0.99980000000000002</v>
      </c>
    </row>
    <row r="53" spans="3:5" x14ac:dyDescent="0.25">
      <c r="C53" s="252">
        <v>39</v>
      </c>
      <c r="D53" s="252">
        <f t="shared" si="0"/>
        <v>2068</v>
      </c>
      <c r="E53" s="253">
        <f t="shared" si="1"/>
        <v>0.99980000000000002</v>
      </c>
    </row>
    <row r="54" spans="3:5" x14ac:dyDescent="0.25">
      <c r="C54" s="252">
        <v>40</v>
      </c>
      <c r="D54" s="252">
        <f t="shared" si="0"/>
        <v>2120</v>
      </c>
      <c r="E54" s="253">
        <f t="shared" si="1"/>
        <v>0.99980000000000002</v>
      </c>
    </row>
    <row r="55" spans="3:5" x14ac:dyDescent="0.25">
      <c r="C55" s="252">
        <v>41</v>
      </c>
      <c r="D55" s="252">
        <f t="shared" si="0"/>
        <v>2172</v>
      </c>
      <c r="E55" s="253">
        <f t="shared" si="1"/>
        <v>0.99980000000000002</v>
      </c>
    </row>
    <row r="56" spans="3:5" x14ac:dyDescent="0.25">
      <c r="C56" s="252">
        <v>42</v>
      </c>
      <c r="D56" s="252">
        <f t="shared" si="0"/>
        <v>2224</v>
      </c>
      <c r="E56" s="253">
        <f t="shared" si="1"/>
        <v>0.99980000000000002</v>
      </c>
    </row>
    <row r="57" spans="3:5" x14ac:dyDescent="0.25">
      <c r="C57" s="252">
        <v>43</v>
      </c>
      <c r="D57" s="252">
        <f t="shared" si="0"/>
        <v>2276</v>
      </c>
      <c r="E57" s="253">
        <f t="shared" si="1"/>
        <v>0.99980000000000002</v>
      </c>
    </row>
    <row r="58" spans="3:5" x14ac:dyDescent="0.25">
      <c r="C58" s="252">
        <v>44</v>
      </c>
      <c r="D58" s="252">
        <f t="shared" si="0"/>
        <v>2328</v>
      </c>
      <c r="E58" s="253">
        <f t="shared" si="1"/>
        <v>0.99980000000000002</v>
      </c>
    </row>
    <row r="59" spans="3:5" x14ac:dyDescent="0.25">
      <c r="C59" s="252">
        <v>45</v>
      </c>
      <c r="D59" s="252">
        <f t="shared" si="0"/>
        <v>2380</v>
      </c>
      <c r="E59" s="253">
        <f t="shared" si="1"/>
        <v>0.99980000000000002</v>
      </c>
    </row>
    <row r="60" spans="3:5" x14ac:dyDescent="0.25">
      <c r="C60" s="252">
        <v>46</v>
      </c>
      <c r="D60" s="252">
        <f t="shared" si="0"/>
        <v>2432</v>
      </c>
      <c r="E60" s="253">
        <f t="shared" si="1"/>
        <v>0.99980000000000002</v>
      </c>
    </row>
    <row r="61" spans="3:5" x14ac:dyDescent="0.25">
      <c r="C61" s="252">
        <v>47</v>
      </c>
      <c r="D61" s="252">
        <f t="shared" si="0"/>
        <v>2484</v>
      </c>
      <c r="E61" s="253">
        <f t="shared" si="1"/>
        <v>0.99980000000000002</v>
      </c>
    </row>
    <row r="62" spans="3:5" x14ac:dyDescent="0.25">
      <c r="C62" s="252">
        <v>48</v>
      </c>
      <c r="D62" s="252">
        <f t="shared" si="0"/>
        <v>2536</v>
      </c>
      <c r="E62" s="253">
        <f t="shared" si="1"/>
        <v>0.99980000000000002</v>
      </c>
    </row>
    <row r="63" spans="3:5" x14ac:dyDescent="0.25">
      <c r="C63" s="254">
        <v>49</v>
      </c>
      <c r="D63" s="254">
        <f t="shared" si="0"/>
        <v>2588</v>
      </c>
      <c r="E63" s="255">
        <f t="shared" si="1"/>
        <v>0.99980000000000002</v>
      </c>
    </row>
    <row r="64" spans="3:5" x14ac:dyDescent="0.25">
      <c r="C64" s="254">
        <v>50</v>
      </c>
      <c r="D64" s="254">
        <f t="shared" si="0"/>
        <v>2640</v>
      </c>
      <c r="E64" s="255">
        <f t="shared" si="1"/>
        <v>0.99980000000000002</v>
      </c>
    </row>
    <row r="65" spans="3:5" x14ac:dyDescent="0.25">
      <c r="C65" s="252">
        <v>51</v>
      </c>
      <c r="D65" s="252">
        <f t="shared" si="0"/>
        <v>2692</v>
      </c>
      <c r="E65" s="253">
        <f t="shared" si="1"/>
        <v>0.99980000000000002</v>
      </c>
    </row>
    <row r="66" spans="3:5" x14ac:dyDescent="0.25">
      <c r="C66" s="252">
        <v>52</v>
      </c>
      <c r="D66" s="252">
        <f t="shared" si="0"/>
        <v>2744</v>
      </c>
      <c r="E66" s="253">
        <f t="shared" si="1"/>
        <v>0.99980000000000002</v>
      </c>
    </row>
    <row r="67" spans="3:5" x14ac:dyDescent="0.25">
      <c r="C67" s="252">
        <v>53</v>
      </c>
      <c r="D67" s="252">
        <f t="shared" si="0"/>
        <v>2796</v>
      </c>
      <c r="E67" s="253">
        <f t="shared" si="1"/>
        <v>0.99980000000000002</v>
      </c>
    </row>
    <row r="68" spans="3:5" x14ac:dyDescent="0.25">
      <c r="C68" s="252">
        <v>54</v>
      </c>
      <c r="D68" s="252">
        <f t="shared" si="0"/>
        <v>2848</v>
      </c>
      <c r="E68" s="253">
        <f t="shared" si="1"/>
        <v>0.99980000000000002</v>
      </c>
    </row>
    <row r="69" spans="3:5" x14ac:dyDescent="0.25">
      <c r="C69" s="252">
        <v>55</v>
      </c>
      <c r="D69" s="252">
        <f t="shared" si="0"/>
        <v>2900</v>
      </c>
      <c r="E69" s="253">
        <f t="shared" si="1"/>
        <v>0.99980000000000002</v>
      </c>
    </row>
    <row r="70" spans="3:5" x14ac:dyDescent="0.25">
      <c r="C70" s="252">
        <v>56</v>
      </c>
      <c r="D70" s="252">
        <f t="shared" si="0"/>
        <v>2952</v>
      </c>
      <c r="E70" s="253">
        <f t="shared" si="1"/>
        <v>0.99980000000000002</v>
      </c>
    </row>
    <row r="71" spans="3:5" x14ac:dyDescent="0.25">
      <c r="C71" s="252">
        <v>57</v>
      </c>
      <c r="D71" s="252">
        <f t="shared" si="0"/>
        <v>3004</v>
      </c>
      <c r="E71" s="253">
        <f t="shared" si="1"/>
        <v>0.99980000000000002</v>
      </c>
    </row>
    <row r="72" spans="3:5" x14ac:dyDescent="0.25">
      <c r="C72" s="254">
        <v>58</v>
      </c>
      <c r="D72" s="254">
        <f t="shared" si="0"/>
        <v>3056</v>
      </c>
      <c r="E72" s="255">
        <f t="shared" si="1"/>
        <v>0.99980000000000002</v>
      </c>
    </row>
    <row r="73" spans="3:5" x14ac:dyDescent="0.25">
      <c r="C73" s="252">
        <v>59</v>
      </c>
      <c r="D73" s="252">
        <f t="shared" si="0"/>
        <v>3108</v>
      </c>
      <c r="E73" s="253">
        <f t="shared" si="1"/>
        <v>0.99980000000000002</v>
      </c>
    </row>
    <row r="74" spans="3:5" s="256" customFormat="1" x14ac:dyDescent="0.25">
      <c r="C74" s="254">
        <v>60</v>
      </c>
      <c r="D74" s="254">
        <f t="shared" si="0"/>
        <v>3160</v>
      </c>
      <c r="E74" s="255">
        <f t="shared" si="1"/>
        <v>0.99980000000000002</v>
      </c>
    </row>
  </sheetData>
  <mergeCells count="2">
    <mergeCell ref="C6:C8"/>
    <mergeCell ref="D6:D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7.Document" shapeId="22529" r:id="rId3">
          <objectPr defaultSize="0" autoPict="0" r:id="rId4">
            <anchor moveWithCells="1">
              <from>
                <xdr:col>8</xdr:col>
                <xdr:colOff>152400</xdr:colOff>
                <xdr:row>0</xdr:row>
                <xdr:rowOff>85725</xdr:rowOff>
              </from>
              <to>
                <xdr:col>17</xdr:col>
                <xdr:colOff>276225</xdr:colOff>
                <xdr:row>18</xdr:row>
                <xdr:rowOff>9525</xdr:rowOff>
              </to>
            </anchor>
          </objectPr>
        </oleObject>
      </mc:Choice>
      <mc:Fallback>
        <oleObject progId="Prism7.Document" shapeId="22529" r:id="rId3"/>
      </mc:Fallback>
    </mc:AlternateContent>
  </oleObjec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2:E74"/>
  <sheetViews>
    <sheetView zoomScale="98" zoomScaleNormal="98" workbookViewId="0">
      <selection activeCell="E22" sqref="E22"/>
    </sheetView>
  </sheetViews>
  <sheetFormatPr defaultColWidth="9.140625" defaultRowHeight="15.75" x14ac:dyDescent="0.25"/>
  <cols>
    <col min="1" max="2" width="9.140625" style="249"/>
    <col min="3" max="3" width="18.28515625" style="249" customWidth="1"/>
    <col min="4" max="4" width="23.7109375" style="249" customWidth="1"/>
    <col min="5" max="5" width="34.7109375" style="249" customWidth="1"/>
    <col min="6" max="16384" width="9.140625" style="249"/>
  </cols>
  <sheetData>
    <row r="2" spans="3:5" x14ac:dyDescent="0.25">
      <c r="C2" s="252"/>
      <c r="D2" s="252" t="s">
        <v>78</v>
      </c>
      <c r="E2" s="252"/>
    </row>
    <row r="3" spans="3:5" ht="47.25" x14ac:dyDescent="0.25">
      <c r="C3" s="257" t="s">
        <v>373</v>
      </c>
      <c r="D3" s="259" t="s">
        <v>374</v>
      </c>
      <c r="E3" s="259" t="s">
        <v>375</v>
      </c>
    </row>
    <row r="4" spans="3:5" ht="47.25" x14ac:dyDescent="0.25">
      <c r="C4" s="257" t="s">
        <v>376</v>
      </c>
      <c r="D4" s="257" t="s">
        <v>377</v>
      </c>
      <c r="E4" s="257" t="s">
        <v>378</v>
      </c>
    </row>
    <row r="6" spans="3:5" ht="15.75" customHeight="1" x14ac:dyDescent="0.25">
      <c r="C6" s="349" t="s">
        <v>60</v>
      </c>
      <c r="D6" s="350" t="s">
        <v>355</v>
      </c>
      <c r="E6" s="251" t="s">
        <v>379</v>
      </c>
    </row>
    <row r="7" spans="3:5" x14ac:dyDescent="0.25">
      <c r="C7" s="349"/>
      <c r="D7" s="350"/>
      <c r="E7" s="251" t="s">
        <v>357</v>
      </c>
    </row>
    <row r="8" spans="3:5" x14ac:dyDescent="0.25">
      <c r="C8" s="349"/>
      <c r="D8" s="350"/>
      <c r="E8" s="252" t="s">
        <v>358</v>
      </c>
    </row>
    <row r="9" spans="3:5" x14ac:dyDescent="0.25">
      <c r="C9" s="252">
        <v>0.1</v>
      </c>
      <c r="D9" s="252">
        <f>(C9*52)+40</f>
        <v>45.2</v>
      </c>
      <c r="E9" s="253">
        <f>1*D9^7.3/(44.54^7.3 + D9^7.3)</f>
        <v>0.52681893660061729</v>
      </c>
    </row>
    <row r="10" spans="3:5" x14ac:dyDescent="0.25">
      <c r="C10" s="252">
        <v>0.25</v>
      </c>
      <c r="D10" s="252">
        <f t="shared" ref="D10:D74" si="0">(C10*52)+40</f>
        <v>53</v>
      </c>
      <c r="E10" s="253">
        <f>1*D10^7.3/(44.54^7.3 + D10^7.3)</f>
        <v>0.78065732180875991</v>
      </c>
    </row>
    <row r="11" spans="3:5" s="256" customFormat="1" x14ac:dyDescent="0.25">
      <c r="C11" s="254">
        <v>0.5</v>
      </c>
      <c r="D11" s="254">
        <f t="shared" si="0"/>
        <v>66</v>
      </c>
      <c r="E11" s="255">
        <f t="shared" ref="E11:E74" si="1">1*D11^7.3/(44.54^7.3 + D11^7.3)</f>
        <v>0.94638647663435327</v>
      </c>
    </row>
    <row r="12" spans="3:5" s="256" customFormat="1" x14ac:dyDescent="0.25">
      <c r="C12" s="254">
        <v>1</v>
      </c>
      <c r="D12" s="254">
        <f t="shared" si="0"/>
        <v>92</v>
      </c>
      <c r="E12" s="255">
        <f t="shared" si="1"/>
        <v>0.99501054515575849</v>
      </c>
    </row>
    <row r="13" spans="3:5" s="256" customFormat="1" x14ac:dyDescent="0.25">
      <c r="C13" s="254">
        <v>1.5</v>
      </c>
      <c r="D13" s="254">
        <f t="shared" si="0"/>
        <v>118</v>
      </c>
      <c r="E13" s="255">
        <f t="shared" si="1"/>
        <v>0.99918570060980205</v>
      </c>
    </row>
    <row r="14" spans="3:5" x14ac:dyDescent="0.25">
      <c r="C14" s="254">
        <v>2</v>
      </c>
      <c r="D14" s="254">
        <f t="shared" si="0"/>
        <v>144</v>
      </c>
      <c r="E14" s="255">
        <f t="shared" si="1"/>
        <v>0.99980956461533999</v>
      </c>
    </row>
    <row r="15" spans="3:5" x14ac:dyDescent="0.25">
      <c r="C15" s="254">
        <v>3</v>
      </c>
      <c r="D15" s="254">
        <f t="shared" si="0"/>
        <v>196</v>
      </c>
      <c r="E15" s="255">
        <f t="shared" si="1"/>
        <v>0.99997993687779774</v>
      </c>
    </row>
    <row r="16" spans="3:5" x14ac:dyDescent="0.25">
      <c r="C16" s="254">
        <v>4</v>
      </c>
      <c r="D16" s="254">
        <f t="shared" si="0"/>
        <v>248</v>
      </c>
      <c r="E16" s="255">
        <f t="shared" si="1"/>
        <v>0.99999639937643969</v>
      </c>
    </row>
    <row r="17" spans="3:5" x14ac:dyDescent="0.25">
      <c r="C17" s="254">
        <v>4.5</v>
      </c>
      <c r="D17" s="254">
        <f t="shared" si="0"/>
        <v>274</v>
      </c>
      <c r="E17" s="255">
        <f t="shared" si="1"/>
        <v>0.99999826101158462</v>
      </c>
    </row>
    <row r="18" spans="3:5" s="256" customFormat="1" x14ac:dyDescent="0.25">
      <c r="C18" s="254">
        <v>5</v>
      </c>
      <c r="D18" s="254">
        <f t="shared" si="0"/>
        <v>300</v>
      </c>
      <c r="E18" s="255">
        <f t="shared" si="1"/>
        <v>0.99999910279640813</v>
      </c>
    </row>
    <row r="19" spans="3:5" x14ac:dyDescent="0.25">
      <c r="C19" s="254">
        <v>6</v>
      </c>
      <c r="D19" s="254">
        <f t="shared" si="0"/>
        <v>352</v>
      </c>
      <c r="E19" s="255">
        <f t="shared" si="1"/>
        <v>0.99999972067166798</v>
      </c>
    </row>
    <row r="20" spans="3:5" x14ac:dyDescent="0.25">
      <c r="C20" s="252">
        <v>7</v>
      </c>
      <c r="D20" s="252">
        <f t="shared" si="0"/>
        <v>404</v>
      </c>
      <c r="E20" s="253">
        <f t="shared" si="1"/>
        <v>0.9999998978372574</v>
      </c>
    </row>
    <row r="21" spans="3:5" x14ac:dyDescent="0.25">
      <c r="C21" s="252">
        <v>8</v>
      </c>
      <c r="D21" s="252">
        <f t="shared" si="0"/>
        <v>456</v>
      </c>
      <c r="E21" s="253">
        <f t="shared" si="1"/>
        <v>0.999999957788267</v>
      </c>
    </row>
    <row r="22" spans="3:5" x14ac:dyDescent="0.25">
      <c r="C22" s="252">
        <v>9</v>
      </c>
      <c r="D22" s="252">
        <f t="shared" si="0"/>
        <v>508</v>
      </c>
      <c r="E22" s="253">
        <f t="shared" si="1"/>
        <v>0.99999998081015595</v>
      </c>
    </row>
    <row r="23" spans="3:5" s="256" customFormat="1" x14ac:dyDescent="0.25">
      <c r="C23" s="252">
        <v>10</v>
      </c>
      <c r="D23" s="252">
        <f t="shared" si="0"/>
        <v>560</v>
      </c>
      <c r="E23" s="253">
        <f t="shared" si="1"/>
        <v>0.99999999057884925</v>
      </c>
    </row>
    <row r="24" spans="3:5" s="256" customFormat="1" x14ac:dyDescent="0.25">
      <c r="C24" s="254">
        <v>10.3</v>
      </c>
      <c r="D24" s="254">
        <f t="shared" si="0"/>
        <v>575.6</v>
      </c>
      <c r="E24" s="255">
        <f t="shared" si="1"/>
        <v>0.99999999229105729</v>
      </c>
    </row>
    <row r="25" spans="3:5" x14ac:dyDescent="0.25">
      <c r="C25" s="252">
        <v>11</v>
      </c>
      <c r="D25" s="252">
        <f t="shared" si="0"/>
        <v>612</v>
      </c>
      <c r="E25" s="253">
        <f t="shared" si="1"/>
        <v>0.99999999507290238</v>
      </c>
    </row>
    <row r="26" spans="3:5" x14ac:dyDescent="0.25">
      <c r="C26" s="254">
        <v>12</v>
      </c>
      <c r="D26" s="254">
        <f t="shared" si="0"/>
        <v>664</v>
      </c>
      <c r="E26" s="255">
        <f t="shared" si="1"/>
        <v>0.99999999728325062</v>
      </c>
    </row>
    <row r="27" spans="3:5" x14ac:dyDescent="0.25">
      <c r="C27" s="254">
        <v>13</v>
      </c>
      <c r="D27" s="254">
        <f t="shared" si="0"/>
        <v>716</v>
      </c>
      <c r="E27" s="255">
        <f t="shared" si="1"/>
        <v>0.99999999843320753</v>
      </c>
    </row>
    <row r="28" spans="3:5" x14ac:dyDescent="0.25">
      <c r="C28" s="252">
        <v>14</v>
      </c>
      <c r="D28" s="252">
        <f t="shared" si="0"/>
        <v>768</v>
      </c>
      <c r="E28" s="253">
        <f t="shared" si="1"/>
        <v>0.99999999906083992</v>
      </c>
    </row>
    <row r="29" spans="3:5" x14ac:dyDescent="0.25">
      <c r="C29" s="254">
        <v>15</v>
      </c>
      <c r="D29" s="254">
        <f t="shared" si="0"/>
        <v>820</v>
      </c>
      <c r="E29" s="255">
        <f t="shared" si="1"/>
        <v>0.99999999941784934</v>
      </c>
    </row>
    <row r="30" spans="3:5" x14ac:dyDescent="0.25">
      <c r="C30" s="252">
        <v>16</v>
      </c>
      <c r="D30" s="252">
        <f t="shared" si="0"/>
        <v>872</v>
      </c>
      <c r="E30" s="253">
        <f t="shared" si="1"/>
        <v>0.99999999962837394</v>
      </c>
    </row>
    <row r="31" spans="3:5" x14ac:dyDescent="0.25">
      <c r="C31" s="252">
        <v>17</v>
      </c>
      <c r="D31" s="252">
        <f t="shared" si="0"/>
        <v>924</v>
      </c>
      <c r="E31" s="253">
        <f t="shared" si="1"/>
        <v>0.99999999975651566</v>
      </c>
    </row>
    <row r="32" spans="3:5" x14ac:dyDescent="0.25">
      <c r="C32" s="252">
        <v>18</v>
      </c>
      <c r="D32" s="252">
        <f t="shared" si="0"/>
        <v>976</v>
      </c>
      <c r="E32" s="253">
        <f t="shared" si="1"/>
        <v>0.99999999983673504</v>
      </c>
    </row>
    <row r="33" spans="3:5" x14ac:dyDescent="0.25">
      <c r="C33" s="254">
        <v>19</v>
      </c>
      <c r="D33" s="254">
        <f t="shared" si="0"/>
        <v>1028</v>
      </c>
      <c r="E33" s="255">
        <f t="shared" si="1"/>
        <v>0.99999999988822952</v>
      </c>
    </row>
    <row r="34" spans="3:5" x14ac:dyDescent="0.25">
      <c r="C34" s="254">
        <v>20</v>
      </c>
      <c r="D34" s="254">
        <f t="shared" si="0"/>
        <v>1080</v>
      </c>
      <c r="E34" s="255">
        <f t="shared" si="1"/>
        <v>0.99999999992203792</v>
      </c>
    </row>
    <row r="35" spans="3:5" x14ac:dyDescent="0.25">
      <c r="C35" s="252">
        <v>21</v>
      </c>
      <c r="D35" s="252">
        <f t="shared" si="0"/>
        <v>1132</v>
      </c>
      <c r="E35" s="253">
        <f t="shared" si="1"/>
        <v>0.99999999994469091</v>
      </c>
    </row>
    <row r="36" spans="3:5" x14ac:dyDescent="0.25">
      <c r="C36" s="252">
        <v>22</v>
      </c>
      <c r="D36" s="252">
        <f t="shared" si="0"/>
        <v>1184</v>
      </c>
      <c r="E36" s="253">
        <f t="shared" si="1"/>
        <v>0.99999999996015188</v>
      </c>
    </row>
    <row r="37" spans="3:5" x14ac:dyDescent="0.25">
      <c r="C37" s="252">
        <v>23</v>
      </c>
      <c r="D37" s="252">
        <f t="shared" si="0"/>
        <v>1236</v>
      </c>
      <c r="E37" s="253">
        <f t="shared" si="1"/>
        <v>0.9999999999708834</v>
      </c>
    </row>
    <row r="38" spans="3:5" x14ac:dyDescent="0.25">
      <c r="C38" s="252">
        <v>24</v>
      </c>
      <c r="D38" s="252">
        <f t="shared" si="0"/>
        <v>1288</v>
      </c>
      <c r="E38" s="253">
        <f t="shared" si="1"/>
        <v>0.99999999997844791</v>
      </c>
    </row>
    <row r="39" spans="3:5" s="256" customFormat="1" x14ac:dyDescent="0.25">
      <c r="C39" s="254">
        <v>25</v>
      </c>
      <c r="D39" s="254">
        <f t="shared" si="0"/>
        <v>1340</v>
      </c>
      <c r="E39" s="255">
        <f t="shared" si="1"/>
        <v>0.99999999998385602</v>
      </c>
    </row>
    <row r="40" spans="3:5" x14ac:dyDescent="0.25">
      <c r="C40" s="252">
        <v>26</v>
      </c>
      <c r="D40" s="252">
        <f t="shared" si="0"/>
        <v>1392</v>
      </c>
      <c r="E40" s="253">
        <f t="shared" si="1"/>
        <v>0.99999999998777322</v>
      </c>
    </row>
    <row r="41" spans="3:5" x14ac:dyDescent="0.25">
      <c r="C41" s="252">
        <v>27</v>
      </c>
      <c r="D41" s="252">
        <f t="shared" si="0"/>
        <v>1444</v>
      </c>
      <c r="E41" s="253">
        <f t="shared" si="1"/>
        <v>0.99999999999064515</v>
      </c>
    </row>
    <row r="42" spans="3:5" x14ac:dyDescent="0.25">
      <c r="C42" s="252">
        <v>28</v>
      </c>
      <c r="D42" s="252">
        <f t="shared" si="0"/>
        <v>1496</v>
      </c>
      <c r="E42" s="253">
        <f t="shared" si="1"/>
        <v>0.99999999999277434</v>
      </c>
    </row>
    <row r="43" spans="3:5" x14ac:dyDescent="0.25">
      <c r="C43" s="252">
        <v>29</v>
      </c>
      <c r="D43" s="252">
        <f t="shared" si="0"/>
        <v>1548</v>
      </c>
      <c r="E43" s="253">
        <f t="shared" si="1"/>
        <v>0.99999999999436939</v>
      </c>
    </row>
    <row r="44" spans="3:5" x14ac:dyDescent="0.25">
      <c r="C44" s="252">
        <v>30</v>
      </c>
      <c r="D44" s="252">
        <f t="shared" si="0"/>
        <v>1600</v>
      </c>
      <c r="E44" s="253">
        <f t="shared" si="1"/>
        <v>0.99999999999557609</v>
      </c>
    </row>
    <row r="45" spans="3:5" x14ac:dyDescent="0.25">
      <c r="C45" s="252">
        <v>31</v>
      </c>
      <c r="D45" s="252">
        <f t="shared" si="0"/>
        <v>1652</v>
      </c>
      <c r="E45" s="253">
        <f t="shared" si="1"/>
        <v>0.99999999999649736</v>
      </c>
    </row>
    <row r="46" spans="3:5" x14ac:dyDescent="0.25">
      <c r="C46" s="252">
        <v>32</v>
      </c>
      <c r="D46" s="252">
        <f t="shared" si="0"/>
        <v>1704</v>
      </c>
      <c r="E46" s="253">
        <f t="shared" si="1"/>
        <v>0.99999999999720657</v>
      </c>
    </row>
    <row r="47" spans="3:5" x14ac:dyDescent="0.25">
      <c r="C47" s="252">
        <v>33</v>
      </c>
      <c r="D47" s="252">
        <f t="shared" si="0"/>
        <v>1756</v>
      </c>
      <c r="E47" s="253">
        <f t="shared" si="1"/>
        <v>0.99999999999775702</v>
      </c>
    </row>
    <row r="48" spans="3:5" x14ac:dyDescent="0.25">
      <c r="C48" s="252">
        <v>34</v>
      </c>
      <c r="D48" s="252">
        <f t="shared" si="0"/>
        <v>1808</v>
      </c>
      <c r="E48" s="253">
        <f t="shared" si="1"/>
        <v>0.99999999999818734</v>
      </c>
    </row>
    <row r="49" spans="3:5" x14ac:dyDescent="0.25">
      <c r="C49" s="252">
        <v>35</v>
      </c>
      <c r="D49" s="252">
        <f t="shared" si="0"/>
        <v>1860</v>
      </c>
      <c r="E49" s="253">
        <f t="shared" si="1"/>
        <v>0.99999999999852629</v>
      </c>
    </row>
    <row r="50" spans="3:5" x14ac:dyDescent="0.25">
      <c r="C50" s="252">
        <v>36</v>
      </c>
      <c r="D50" s="252">
        <f t="shared" si="0"/>
        <v>1912</v>
      </c>
      <c r="E50" s="253">
        <f t="shared" si="1"/>
        <v>0.99999999999879496</v>
      </c>
    </row>
    <row r="51" spans="3:5" x14ac:dyDescent="0.25">
      <c r="C51" s="252">
        <v>37</v>
      </c>
      <c r="D51" s="252">
        <f t="shared" si="0"/>
        <v>1964</v>
      </c>
      <c r="E51" s="253">
        <f t="shared" si="1"/>
        <v>0.99999999999900935</v>
      </c>
    </row>
    <row r="52" spans="3:5" x14ac:dyDescent="0.25">
      <c r="C52" s="252">
        <v>38</v>
      </c>
      <c r="D52" s="252">
        <f t="shared" si="0"/>
        <v>2016</v>
      </c>
      <c r="E52" s="253">
        <f t="shared" si="1"/>
        <v>0.99999999999918132</v>
      </c>
    </row>
    <row r="53" spans="3:5" x14ac:dyDescent="0.25">
      <c r="C53" s="252">
        <v>39</v>
      </c>
      <c r="D53" s="252">
        <f t="shared" si="0"/>
        <v>2068</v>
      </c>
      <c r="E53" s="253">
        <f t="shared" si="1"/>
        <v>0.99999999999932021</v>
      </c>
    </row>
    <row r="54" spans="3:5" x14ac:dyDescent="0.25">
      <c r="C54" s="252">
        <v>40</v>
      </c>
      <c r="D54" s="252">
        <f t="shared" si="0"/>
        <v>2120</v>
      </c>
      <c r="E54" s="253">
        <f t="shared" si="1"/>
        <v>0.99999999999943301</v>
      </c>
    </row>
    <row r="55" spans="3:5" x14ac:dyDescent="0.25">
      <c r="C55" s="252">
        <v>41</v>
      </c>
      <c r="D55" s="252">
        <f t="shared" si="0"/>
        <v>2172</v>
      </c>
      <c r="E55" s="253">
        <f t="shared" si="1"/>
        <v>0.99999999999952494</v>
      </c>
    </row>
    <row r="56" spans="3:5" x14ac:dyDescent="0.25">
      <c r="C56" s="252">
        <v>42</v>
      </c>
      <c r="D56" s="252">
        <f t="shared" si="0"/>
        <v>2224</v>
      </c>
      <c r="E56" s="253">
        <f t="shared" si="1"/>
        <v>0.99999999999960021</v>
      </c>
    </row>
    <row r="57" spans="3:5" x14ac:dyDescent="0.25">
      <c r="C57" s="252">
        <v>43</v>
      </c>
      <c r="D57" s="252">
        <f t="shared" si="0"/>
        <v>2276</v>
      </c>
      <c r="E57" s="253">
        <f t="shared" si="1"/>
        <v>0.99999999999966227</v>
      </c>
    </row>
    <row r="58" spans="3:5" x14ac:dyDescent="0.25">
      <c r="C58" s="252">
        <v>44</v>
      </c>
      <c r="D58" s="252">
        <f t="shared" si="0"/>
        <v>2328</v>
      </c>
      <c r="E58" s="253">
        <f t="shared" si="1"/>
        <v>0.99999999999971367</v>
      </c>
    </row>
    <row r="59" spans="3:5" x14ac:dyDescent="0.25">
      <c r="C59" s="252">
        <v>45</v>
      </c>
      <c r="D59" s="252">
        <f t="shared" si="0"/>
        <v>2380</v>
      </c>
      <c r="E59" s="253">
        <f t="shared" si="1"/>
        <v>0.99999999999975631</v>
      </c>
    </row>
    <row r="60" spans="3:5" x14ac:dyDescent="0.25">
      <c r="C60" s="252">
        <v>46</v>
      </c>
      <c r="D60" s="252">
        <f t="shared" si="0"/>
        <v>2432</v>
      </c>
      <c r="E60" s="253">
        <f t="shared" si="1"/>
        <v>0.99999999999979172</v>
      </c>
    </row>
    <row r="61" spans="3:5" x14ac:dyDescent="0.25">
      <c r="C61" s="252">
        <v>47</v>
      </c>
      <c r="D61" s="252">
        <f t="shared" si="0"/>
        <v>2484</v>
      </c>
      <c r="E61" s="253">
        <f t="shared" si="1"/>
        <v>0.99999999999982159</v>
      </c>
    </row>
    <row r="62" spans="3:5" x14ac:dyDescent="0.25">
      <c r="C62" s="252">
        <v>48</v>
      </c>
      <c r="D62" s="252">
        <f t="shared" si="0"/>
        <v>2536</v>
      </c>
      <c r="E62" s="253">
        <f t="shared" si="1"/>
        <v>0.99999999999984657</v>
      </c>
    </row>
    <row r="63" spans="3:5" x14ac:dyDescent="0.25">
      <c r="C63" s="254">
        <v>49</v>
      </c>
      <c r="D63" s="254">
        <f t="shared" si="0"/>
        <v>2588</v>
      </c>
      <c r="E63" s="255">
        <f t="shared" si="1"/>
        <v>0.99999999999986777</v>
      </c>
    </row>
    <row r="64" spans="3:5" x14ac:dyDescent="0.25">
      <c r="C64" s="254">
        <v>50</v>
      </c>
      <c r="D64" s="254">
        <f t="shared" si="0"/>
        <v>2640</v>
      </c>
      <c r="E64" s="255">
        <f t="shared" si="1"/>
        <v>0.99999999999988565</v>
      </c>
    </row>
    <row r="65" spans="3:5" x14ac:dyDescent="0.25">
      <c r="C65" s="252">
        <v>51</v>
      </c>
      <c r="D65" s="252">
        <f t="shared" si="0"/>
        <v>2692</v>
      </c>
      <c r="E65" s="253">
        <f t="shared" si="1"/>
        <v>0.99999999999990075</v>
      </c>
    </row>
    <row r="66" spans="3:5" x14ac:dyDescent="0.25">
      <c r="C66" s="252">
        <v>52</v>
      </c>
      <c r="D66" s="252">
        <f t="shared" si="0"/>
        <v>2744</v>
      </c>
      <c r="E66" s="253">
        <f t="shared" si="1"/>
        <v>0.99999999999991374</v>
      </c>
    </row>
    <row r="67" spans="3:5" x14ac:dyDescent="0.25">
      <c r="C67" s="252">
        <v>53</v>
      </c>
      <c r="D67" s="252">
        <f t="shared" si="0"/>
        <v>2796</v>
      </c>
      <c r="E67" s="253">
        <f t="shared" si="1"/>
        <v>0.99999999999992473</v>
      </c>
    </row>
    <row r="68" spans="3:5" x14ac:dyDescent="0.25">
      <c r="C68" s="252">
        <v>54</v>
      </c>
      <c r="D68" s="252">
        <f t="shared" si="0"/>
        <v>2848</v>
      </c>
      <c r="E68" s="253">
        <f t="shared" si="1"/>
        <v>0.99999999999993427</v>
      </c>
    </row>
    <row r="69" spans="3:5" x14ac:dyDescent="0.25">
      <c r="C69" s="252">
        <v>55</v>
      </c>
      <c r="D69" s="252">
        <f t="shared" si="0"/>
        <v>2900</v>
      </c>
      <c r="E69" s="253">
        <f t="shared" si="1"/>
        <v>0.99999999999994238</v>
      </c>
    </row>
    <row r="70" spans="3:5" x14ac:dyDescent="0.25">
      <c r="C70" s="252">
        <v>56</v>
      </c>
      <c r="D70" s="252">
        <f t="shared" si="0"/>
        <v>2952</v>
      </c>
      <c r="E70" s="253">
        <f t="shared" si="1"/>
        <v>0.99999999999994937</v>
      </c>
    </row>
    <row r="71" spans="3:5" x14ac:dyDescent="0.25">
      <c r="C71" s="252">
        <v>57</v>
      </c>
      <c r="D71" s="252">
        <f t="shared" si="0"/>
        <v>3004</v>
      </c>
      <c r="E71" s="253">
        <f t="shared" si="1"/>
        <v>0.99999999999995548</v>
      </c>
    </row>
    <row r="72" spans="3:5" x14ac:dyDescent="0.25">
      <c r="C72" s="254">
        <v>58</v>
      </c>
      <c r="D72" s="254">
        <f t="shared" si="0"/>
        <v>3056</v>
      </c>
      <c r="E72" s="255">
        <f t="shared" si="1"/>
        <v>0.9999999999999607</v>
      </c>
    </row>
    <row r="73" spans="3:5" x14ac:dyDescent="0.25">
      <c r="C73" s="252">
        <v>59</v>
      </c>
      <c r="D73" s="252">
        <f t="shared" si="0"/>
        <v>3108</v>
      </c>
      <c r="E73" s="253">
        <f t="shared" si="1"/>
        <v>0.99999999999996525</v>
      </c>
    </row>
    <row r="74" spans="3:5" s="256" customFormat="1" x14ac:dyDescent="0.25">
      <c r="C74" s="254">
        <v>60</v>
      </c>
      <c r="D74" s="254">
        <f t="shared" si="0"/>
        <v>3160</v>
      </c>
      <c r="E74" s="255">
        <f t="shared" si="1"/>
        <v>0.99999999999996925</v>
      </c>
    </row>
  </sheetData>
  <mergeCells count="2">
    <mergeCell ref="C6:C8"/>
    <mergeCell ref="D6:D8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C2:E74"/>
  <sheetViews>
    <sheetView topLeftCell="A22" zoomScale="98" zoomScaleNormal="98" workbookViewId="0">
      <selection activeCell="E22" sqref="E22"/>
    </sheetView>
  </sheetViews>
  <sheetFormatPr defaultColWidth="9.140625" defaultRowHeight="15.75" x14ac:dyDescent="0.25"/>
  <cols>
    <col min="1" max="2" width="9.140625" style="249"/>
    <col min="3" max="3" width="18.28515625" style="249" customWidth="1"/>
    <col min="4" max="4" width="23.7109375" style="249" customWidth="1"/>
    <col min="5" max="5" width="36.42578125" style="249" customWidth="1"/>
    <col min="6" max="16384" width="9.140625" style="249"/>
  </cols>
  <sheetData>
    <row r="2" spans="3:5" x14ac:dyDescent="0.25">
      <c r="C2" s="252"/>
      <c r="D2" s="252" t="s">
        <v>78</v>
      </c>
      <c r="E2" s="252"/>
    </row>
    <row r="3" spans="3:5" ht="63" x14ac:dyDescent="0.25">
      <c r="C3" s="257" t="s">
        <v>380</v>
      </c>
      <c r="D3" s="259" t="s">
        <v>381</v>
      </c>
      <c r="E3" s="259" t="s">
        <v>382</v>
      </c>
    </row>
    <row r="4" spans="3:5" ht="63" x14ac:dyDescent="0.25">
      <c r="C4" s="257" t="s">
        <v>383</v>
      </c>
      <c r="D4" s="257" t="s">
        <v>384</v>
      </c>
      <c r="E4" s="252"/>
    </row>
    <row r="6" spans="3:5" ht="15.75" customHeight="1" x14ac:dyDescent="0.25">
      <c r="C6" s="349" t="s">
        <v>60</v>
      </c>
      <c r="D6" s="350" t="s">
        <v>355</v>
      </c>
      <c r="E6" s="251" t="s">
        <v>385</v>
      </c>
    </row>
    <row r="7" spans="3:5" x14ac:dyDescent="0.25">
      <c r="C7" s="349"/>
      <c r="D7" s="350"/>
      <c r="E7" s="251" t="s">
        <v>357</v>
      </c>
    </row>
    <row r="8" spans="3:5" x14ac:dyDescent="0.25">
      <c r="C8" s="349"/>
      <c r="D8" s="350"/>
      <c r="E8" s="252" t="s">
        <v>358</v>
      </c>
    </row>
    <row r="9" spans="3:5" x14ac:dyDescent="0.25">
      <c r="C9" s="252">
        <v>0.1</v>
      </c>
      <c r="D9" s="252"/>
      <c r="E9" s="253">
        <f>1*C9/(0.85 + C9)</f>
        <v>0.10526315789473685</v>
      </c>
    </row>
    <row r="10" spans="3:5" x14ac:dyDescent="0.25">
      <c r="C10" s="252">
        <v>0.25</v>
      </c>
      <c r="D10" s="252"/>
      <c r="E10" s="253">
        <f t="shared" ref="E10:E74" si="0">1*C10/(0.85 + C10)</f>
        <v>0.22727272727272727</v>
      </c>
    </row>
    <row r="11" spans="3:5" s="256" customFormat="1" x14ac:dyDescent="0.25">
      <c r="C11" s="254">
        <v>0.5</v>
      </c>
      <c r="D11" s="254"/>
      <c r="E11" s="255">
        <f t="shared" si="0"/>
        <v>0.37037037037037035</v>
      </c>
    </row>
    <row r="12" spans="3:5" s="256" customFormat="1" x14ac:dyDescent="0.25">
      <c r="C12" s="254">
        <v>1</v>
      </c>
      <c r="D12" s="254"/>
      <c r="E12" s="255">
        <f t="shared" si="0"/>
        <v>0.54054054054054046</v>
      </c>
    </row>
    <row r="13" spans="3:5" s="256" customFormat="1" x14ac:dyDescent="0.25">
      <c r="C13" s="254">
        <v>1.5</v>
      </c>
      <c r="D13" s="254"/>
      <c r="E13" s="255">
        <f t="shared" si="0"/>
        <v>0.63829787234042545</v>
      </c>
    </row>
    <row r="14" spans="3:5" x14ac:dyDescent="0.25">
      <c r="C14" s="254">
        <v>2</v>
      </c>
      <c r="D14" s="254"/>
      <c r="E14" s="255">
        <f t="shared" si="0"/>
        <v>0.70175438596491224</v>
      </c>
    </row>
    <row r="15" spans="3:5" x14ac:dyDescent="0.25">
      <c r="C15" s="254">
        <v>3</v>
      </c>
      <c r="D15" s="254"/>
      <c r="E15" s="255">
        <f t="shared" si="0"/>
        <v>0.77922077922077926</v>
      </c>
    </row>
    <row r="16" spans="3:5" x14ac:dyDescent="0.25">
      <c r="C16" s="254">
        <v>4</v>
      </c>
      <c r="D16" s="254"/>
      <c r="E16" s="255">
        <f t="shared" si="0"/>
        <v>0.82474226804123718</v>
      </c>
    </row>
    <row r="17" spans="3:5" x14ac:dyDescent="0.25">
      <c r="C17" s="254">
        <v>4.5</v>
      </c>
      <c r="D17" s="254"/>
      <c r="E17" s="255">
        <f t="shared" si="0"/>
        <v>0.8411214953271029</v>
      </c>
    </row>
    <row r="18" spans="3:5" s="256" customFormat="1" x14ac:dyDescent="0.25">
      <c r="C18" s="254">
        <v>5</v>
      </c>
      <c r="D18" s="254"/>
      <c r="E18" s="255">
        <f t="shared" si="0"/>
        <v>0.85470085470085477</v>
      </c>
    </row>
    <row r="19" spans="3:5" x14ac:dyDescent="0.25">
      <c r="C19" s="254">
        <v>6</v>
      </c>
      <c r="D19" s="254"/>
      <c r="E19" s="255">
        <f t="shared" si="0"/>
        <v>0.87591240875912413</v>
      </c>
    </row>
    <row r="20" spans="3:5" x14ac:dyDescent="0.25">
      <c r="C20" s="252">
        <v>7</v>
      </c>
      <c r="D20" s="252"/>
      <c r="E20" s="253">
        <f t="shared" si="0"/>
        <v>0.89171974522292996</v>
      </c>
    </row>
    <row r="21" spans="3:5" x14ac:dyDescent="0.25">
      <c r="C21" s="252">
        <v>8</v>
      </c>
      <c r="D21" s="252"/>
      <c r="E21" s="253">
        <f t="shared" si="0"/>
        <v>0.903954802259887</v>
      </c>
    </row>
    <row r="22" spans="3:5" x14ac:dyDescent="0.25">
      <c r="C22" s="252">
        <v>9</v>
      </c>
      <c r="D22" s="252"/>
      <c r="E22" s="253">
        <f t="shared" si="0"/>
        <v>0.91370558375634525</v>
      </c>
    </row>
    <row r="23" spans="3:5" s="256" customFormat="1" x14ac:dyDescent="0.25">
      <c r="C23" s="252">
        <v>10</v>
      </c>
      <c r="D23" s="252"/>
      <c r="E23" s="253">
        <f t="shared" si="0"/>
        <v>0.92165898617511521</v>
      </c>
    </row>
    <row r="24" spans="3:5" s="256" customFormat="1" x14ac:dyDescent="0.25">
      <c r="C24" s="254">
        <v>10.3</v>
      </c>
      <c r="D24" s="254"/>
      <c r="E24" s="255">
        <f t="shared" si="0"/>
        <v>0.92376681614349776</v>
      </c>
    </row>
    <row r="25" spans="3:5" x14ac:dyDescent="0.25">
      <c r="C25" s="252">
        <v>11</v>
      </c>
      <c r="D25" s="252"/>
      <c r="E25" s="253">
        <f t="shared" si="0"/>
        <v>0.92827004219409281</v>
      </c>
    </row>
    <row r="26" spans="3:5" x14ac:dyDescent="0.25">
      <c r="C26" s="254">
        <v>12</v>
      </c>
      <c r="D26" s="254"/>
      <c r="E26" s="255">
        <f t="shared" si="0"/>
        <v>0.93385214007782102</v>
      </c>
    </row>
    <row r="27" spans="3:5" x14ac:dyDescent="0.25">
      <c r="C27" s="254">
        <v>13</v>
      </c>
      <c r="D27" s="254"/>
      <c r="E27" s="255">
        <f t="shared" si="0"/>
        <v>0.93862815884476536</v>
      </c>
    </row>
    <row r="28" spans="3:5" x14ac:dyDescent="0.25">
      <c r="C28" s="252">
        <v>14</v>
      </c>
      <c r="D28" s="252"/>
      <c r="E28" s="253">
        <f t="shared" si="0"/>
        <v>0.9427609427609428</v>
      </c>
    </row>
    <row r="29" spans="3:5" x14ac:dyDescent="0.25">
      <c r="C29" s="254">
        <v>15</v>
      </c>
      <c r="D29" s="254"/>
      <c r="E29" s="255">
        <f t="shared" si="0"/>
        <v>0.94637223974763407</v>
      </c>
    </row>
    <row r="30" spans="3:5" x14ac:dyDescent="0.25">
      <c r="C30" s="252">
        <v>16</v>
      </c>
      <c r="D30" s="252"/>
      <c r="E30" s="253">
        <f t="shared" si="0"/>
        <v>0.94955489614243316</v>
      </c>
    </row>
    <row r="31" spans="3:5" x14ac:dyDescent="0.25">
      <c r="C31" s="252">
        <v>17</v>
      </c>
      <c r="D31" s="252"/>
      <c r="E31" s="253">
        <f t="shared" si="0"/>
        <v>0.95238095238095233</v>
      </c>
    </row>
    <row r="32" spans="3:5" x14ac:dyDescent="0.25">
      <c r="C32" s="252">
        <v>18</v>
      </c>
      <c r="D32" s="252"/>
      <c r="E32" s="253">
        <f t="shared" si="0"/>
        <v>0.95490716180371349</v>
      </c>
    </row>
    <row r="33" spans="3:5" x14ac:dyDescent="0.25">
      <c r="C33" s="254">
        <v>19</v>
      </c>
      <c r="D33" s="254"/>
      <c r="E33" s="255">
        <f t="shared" si="0"/>
        <v>0.95717884130982356</v>
      </c>
    </row>
    <row r="34" spans="3:5" x14ac:dyDescent="0.25">
      <c r="C34" s="254">
        <v>20</v>
      </c>
      <c r="D34" s="254"/>
      <c r="E34" s="255">
        <f t="shared" si="0"/>
        <v>0.95923261390887282</v>
      </c>
    </row>
    <row r="35" spans="3:5" x14ac:dyDescent="0.25">
      <c r="C35" s="252">
        <v>21</v>
      </c>
      <c r="D35" s="252"/>
      <c r="E35" s="253">
        <f t="shared" si="0"/>
        <v>0.96109839816933629</v>
      </c>
    </row>
    <row r="36" spans="3:5" x14ac:dyDescent="0.25">
      <c r="C36" s="252">
        <v>22</v>
      </c>
      <c r="D36" s="252"/>
      <c r="E36" s="253">
        <f t="shared" si="0"/>
        <v>0.96280087527352287</v>
      </c>
    </row>
    <row r="37" spans="3:5" x14ac:dyDescent="0.25">
      <c r="C37" s="252">
        <v>23</v>
      </c>
      <c r="D37" s="252"/>
      <c r="E37" s="253">
        <f t="shared" si="0"/>
        <v>0.96436058700209637</v>
      </c>
    </row>
    <row r="38" spans="3:5" x14ac:dyDescent="0.25">
      <c r="C38" s="252">
        <v>24</v>
      </c>
      <c r="D38" s="252"/>
      <c r="E38" s="253">
        <f t="shared" si="0"/>
        <v>0.96579476861167002</v>
      </c>
    </row>
    <row r="39" spans="3:5" s="256" customFormat="1" x14ac:dyDescent="0.25">
      <c r="C39" s="254">
        <v>25</v>
      </c>
      <c r="D39" s="254"/>
      <c r="E39" s="255">
        <f t="shared" si="0"/>
        <v>0.96711798839458407</v>
      </c>
    </row>
    <row r="40" spans="3:5" x14ac:dyDescent="0.25">
      <c r="C40" s="252">
        <v>26</v>
      </c>
      <c r="D40" s="252"/>
      <c r="E40" s="253">
        <f t="shared" si="0"/>
        <v>0.96834264432029793</v>
      </c>
    </row>
    <row r="41" spans="3:5" x14ac:dyDescent="0.25">
      <c r="C41" s="252">
        <v>27</v>
      </c>
      <c r="D41" s="252"/>
      <c r="E41" s="253">
        <f t="shared" si="0"/>
        <v>0.96947935368043081</v>
      </c>
    </row>
    <row r="42" spans="3:5" x14ac:dyDescent="0.25">
      <c r="C42" s="252">
        <v>28</v>
      </c>
      <c r="D42" s="252"/>
      <c r="E42" s="253">
        <f t="shared" si="0"/>
        <v>0.97053726169844012</v>
      </c>
    </row>
    <row r="43" spans="3:5" x14ac:dyDescent="0.25">
      <c r="C43" s="252">
        <v>29</v>
      </c>
      <c r="D43" s="252"/>
      <c r="E43" s="253">
        <f t="shared" si="0"/>
        <v>0.97152428810720259</v>
      </c>
    </row>
    <row r="44" spans="3:5" x14ac:dyDescent="0.25">
      <c r="C44" s="252">
        <v>30</v>
      </c>
      <c r="D44" s="252"/>
      <c r="E44" s="253">
        <f t="shared" si="0"/>
        <v>0.97244732576985404</v>
      </c>
    </row>
    <row r="45" spans="3:5" x14ac:dyDescent="0.25">
      <c r="C45" s="252">
        <v>31</v>
      </c>
      <c r="D45" s="252"/>
      <c r="E45" s="253">
        <f t="shared" si="0"/>
        <v>0.97331240188383039</v>
      </c>
    </row>
    <row r="46" spans="3:5" x14ac:dyDescent="0.25">
      <c r="C46" s="252">
        <v>32</v>
      </c>
      <c r="D46" s="252"/>
      <c r="E46" s="253">
        <f t="shared" si="0"/>
        <v>0.97412480974124804</v>
      </c>
    </row>
    <row r="47" spans="3:5" x14ac:dyDescent="0.25">
      <c r="C47" s="252">
        <v>33</v>
      </c>
      <c r="D47" s="252"/>
      <c r="E47" s="253">
        <f t="shared" si="0"/>
        <v>0.97488921713441645</v>
      </c>
    </row>
    <row r="48" spans="3:5" x14ac:dyDescent="0.25">
      <c r="C48" s="252">
        <v>34</v>
      </c>
      <c r="D48" s="252"/>
      <c r="E48" s="253">
        <f t="shared" si="0"/>
        <v>0.97560975609756095</v>
      </c>
    </row>
    <row r="49" spans="3:5" x14ac:dyDescent="0.25">
      <c r="C49" s="252">
        <v>35</v>
      </c>
      <c r="D49" s="252"/>
      <c r="E49" s="253">
        <f t="shared" si="0"/>
        <v>0.97629009762900976</v>
      </c>
    </row>
    <row r="50" spans="3:5" x14ac:dyDescent="0.25">
      <c r="C50" s="252">
        <v>36</v>
      </c>
      <c r="D50" s="252"/>
      <c r="E50" s="253">
        <f t="shared" si="0"/>
        <v>0.97693351424694708</v>
      </c>
    </row>
    <row r="51" spans="3:5" x14ac:dyDescent="0.25">
      <c r="C51" s="252">
        <v>37</v>
      </c>
      <c r="D51" s="252"/>
      <c r="E51" s="253">
        <f t="shared" si="0"/>
        <v>0.97754293262879788</v>
      </c>
    </row>
    <row r="52" spans="3:5" x14ac:dyDescent="0.25">
      <c r="C52" s="252">
        <v>38</v>
      </c>
      <c r="D52" s="252"/>
      <c r="E52" s="253">
        <f t="shared" si="0"/>
        <v>0.97812097812097809</v>
      </c>
    </row>
    <row r="53" spans="3:5" x14ac:dyDescent="0.25">
      <c r="C53" s="252">
        <v>39</v>
      </c>
      <c r="D53" s="252"/>
      <c r="E53" s="253">
        <f t="shared" si="0"/>
        <v>0.97867001254705144</v>
      </c>
    </row>
    <row r="54" spans="3:5" x14ac:dyDescent="0.25">
      <c r="C54" s="252">
        <v>40</v>
      </c>
      <c r="D54" s="252"/>
      <c r="E54" s="253">
        <f t="shared" si="0"/>
        <v>0.97919216646266827</v>
      </c>
    </row>
    <row r="55" spans="3:5" x14ac:dyDescent="0.25">
      <c r="C55" s="252">
        <v>41</v>
      </c>
      <c r="D55" s="252"/>
      <c r="E55" s="253">
        <f t="shared" si="0"/>
        <v>0.97968936678614094</v>
      </c>
    </row>
    <row r="56" spans="3:5" x14ac:dyDescent="0.25">
      <c r="C56" s="252">
        <v>42</v>
      </c>
      <c r="D56" s="252"/>
      <c r="E56" s="253">
        <f t="shared" si="0"/>
        <v>0.98016336056009334</v>
      </c>
    </row>
    <row r="57" spans="3:5" x14ac:dyDescent="0.25">
      <c r="C57" s="252">
        <v>43</v>
      </c>
      <c r="D57" s="252"/>
      <c r="E57" s="253">
        <f t="shared" si="0"/>
        <v>0.98061573546180159</v>
      </c>
    </row>
    <row r="58" spans="3:5" x14ac:dyDescent="0.25">
      <c r="C58" s="252">
        <v>44</v>
      </c>
      <c r="D58" s="252"/>
      <c r="E58" s="253">
        <f t="shared" si="0"/>
        <v>0.98104793756967668</v>
      </c>
    </row>
    <row r="59" spans="3:5" x14ac:dyDescent="0.25">
      <c r="C59" s="252">
        <v>45</v>
      </c>
      <c r="D59" s="252"/>
      <c r="E59" s="253">
        <f t="shared" si="0"/>
        <v>0.98146128680479827</v>
      </c>
    </row>
    <row r="60" spans="3:5" x14ac:dyDescent="0.25">
      <c r="C60" s="252">
        <v>46</v>
      </c>
      <c r="D60" s="252"/>
      <c r="E60" s="253">
        <f t="shared" si="0"/>
        <v>0.98185699039487728</v>
      </c>
    </row>
    <row r="61" spans="3:5" x14ac:dyDescent="0.25">
      <c r="C61" s="252">
        <v>47</v>
      </c>
      <c r="D61" s="252"/>
      <c r="E61" s="253">
        <f t="shared" si="0"/>
        <v>0.98223615464994773</v>
      </c>
    </row>
    <row r="62" spans="3:5" x14ac:dyDescent="0.25">
      <c r="C62" s="252">
        <v>48</v>
      </c>
      <c r="D62" s="252"/>
      <c r="E62" s="253">
        <f t="shared" si="0"/>
        <v>0.98259979529170927</v>
      </c>
    </row>
    <row r="63" spans="3:5" x14ac:dyDescent="0.25">
      <c r="C63" s="254">
        <v>49</v>
      </c>
      <c r="D63" s="254"/>
      <c r="E63" s="255">
        <f t="shared" si="0"/>
        <v>0.98294884653961878</v>
      </c>
    </row>
    <row r="64" spans="3:5" x14ac:dyDescent="0.25">
      <c r="C64" s="254">
        <v>50</v>
      </c>
      <c r="D64" s="254"/>
      <c r="E64" s="255">
        <f t="shared" si="0"/>
        <v>0.98328416912487704</v>
      </c>
    </row>
    <row r="65" spans="3:5" x14ac:dyDescent="0.25">
      <c r="C65" s="252">
        <v>51</v>
      </c>
      <c r="D65" s="252"/>
      <c r="E65" s="253">
        <f t="shared" si="0"/>
        <v>0.98360655737704916</v>
      </c>
    </row>
    <row r="66" spans="3:5" x14ac:dyDescent="0.25">
      <c r="C66" s="252">
        <v>52</v>
      </c>
      <c r="D66" s="252"/>
      <c r="E66" s="253">
        <f t="shared" si="0"/>
        <v>0.98391674550614949</v>
      </c>
    </row>
    <row r="67" spans="3:5" x14ac:dyDescent="0.25">
      <c r="C67" s="252">
        <v>53</v>
      </c>
      <c r="D67" s="252"/>
      <c r="E67" s="253">
        <f t="shared" si="0"/>
        <v>0.98421541318477246</v>
      </c>
    </row>
    <row r="68" spans="3:5" x14ac:dyDescent="0.25">
      <c r="C68" s="252">
        <v>54</v>
      </c>
      <c r="D68" s="252"/>
      <c r="E68" s="253">
        <f t="shared" si="0"/>
        <v>0.98450319051959889</v>
      </c>
    </row>
    <row r="69" spans="3:5" x14ac:dyDescent="0.25">
      <c r="C69" s="252">
        <v>55</v>
      </c>
      <c r="D69" s="252"/>
      <c r="E69" s="253">
        <f t="shared" si="0"/>
        <v>0.98478066248880924</v>
      </c>
    </row>
    <row r="70" spans="3:5" x14ac:dyDescent="0.25">
      <c r="C70" s="252">
        <v>56</v>
      </c>
      <c r="D70" s="252"/>
      <c r="E70" s="253">
        <f t="shared" si="0"/>
        <v>0.98504837291116976</v>
      </c>
    </row>
    <row r="71" spans="3:5" x14ac:dyDescent="0.25">
      <c r="C71" s="252">
        <v>57</v>
      </c>
      <c r="D71" s="252"/>
      <c r="E71" s="253">
        <f t="shared" si="0"/>
        <v>0.98530682800345715</v>
      </c>
    </row>
    <row r="72" spans="3:5" x14ac:dyDescent="0.25">
      <c r="C72" s="254">
        <v>58</v>
      </c>
      <c r="D72" s="254"/>
      <c r="E72" s="255">
        <f t="shared" si="0"/>
        <v>0.98555649957519109</v>
      </c>
    </row>
    <row r="73" spans="3:5" x14ac:dyDescent="0.25">
      <c r="C73" s="349">
        <v>59</v>
      </c>
      <c r="D73" s="350"/>
      <c r="E73" s="251">
        <f t="shared" si="0"/>
        <v>0.98579782790309101</v>
      </c>
    </row>
    <row r="74" spans="3:5" s="256" customFormat="1" x14ac:dyDescent="0.25">
      <c r="C74" s="349">
        <v>60</v>
      </c>
      <c r="D74" s="350"/>
      <c r="E74" s="251">
        <f t="shared" si="0"/>
        <v>0.98603122432210355</v>
      </c>
    </row>
  </sheetData>
  <mergeCells count="4">
    <mergeCell ref="C6:C8"/>
    <mergeCell ref="D6:D8"/>
    <mergeCell ref="C73:C74"/>
    <mergeCell ref="D73:D74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5:X273"/>
  <sheetViews>
    <sheetView tabSelected="1" zoomScale="60" zoomScaleNormal="60" workbookViewId="0">
      <selection activeCell="X22" sqref="X22:X42"/>
    </sheetView>
  </sheetViews>
  <sheetFormatPr defaultColWidth="9.140625" defaultRowHeight="15.75" x14ac:dyDescent="0.25"/>
  <cols>
    <col min="1" max="1" width="26.42578125" style="260" customWidth="1"/>
    <col min="2" max="2" width="9.140625" style="260"/>
    <col min="3" max="3" width="15.28515625" style="260" customWidth="1"/>
    <col min="4" max="4" width="21.28515625" style="260" customWidth="1"/>
    <col min="5" max="5" width="21.140625" style="260" customWidth="1"/>
    <col min="6" max="6" width="15" style="260" customWidth="1"/>
    <col min="7" max="7" width="24.85546875" style="260" customWidth="1"/>
    <col min="8" max="8" width="19.28515625" style="260" customWidth="1"/>
    <col min="9" max="9" width="17.28515625" style="260" customWidth="1"/>
    <col min="10" max="10" width="26.28515625" style="260" customWidth="1"/>
    <col min="11" max="11" width="20.140625" style="260" customWidth="1"/>
    <col min="12" max="12" width="22.42578125" style="260" customWidth="1"/>
    <col min="13" max="13" width="18" style="260" customWidth="1"/>
    <col min="14" max="14" width="20" style="260" customWidth="1"/>
    <col min="15" max="15" width="13.140625" style="260" customWidth="1"/>
    <col min="16" max="16" width="15.5703125" style="260" customWidth="1"/>
    <col min="17" max="17" width="18.7109375" style="260" customWidth="1"/>
    <col min="18" max="18" width="23.85546875" style="260" customWidth="1"/>
    <col min="19" max="19" width="21.28515625" style="260" customWidth="1"/>
    <col min="20" max="20" width="13.140625" style="260" customWidth="1"/>
    <col min="21" max="22" width="14.28515625" style="260" customWidth="1"/>
    <col min="23" max="23" width="7.5703125" style="260" customWidth="1"/>
    <col min="24" max="24" width="14" style="260" customWidth="1"/>
    <col min="25" max="25" width="12.42578125" style="260" customWidth="1"/>
    <col min="26" max="16384" width="9.140625" style="260"/>
  </cols>
  <sheetData>
    <row r="5" spans="2:24" ht="15.75" customHeight="1" x14ac:dyDescent="0.25">
      <c r="D5" s="369" t="s">
        <v>386</v>
      </c>
      <c r="E5" s="369"/>
      <c r="G5" s="370" t="s">
        <v>387</v>
      </c>
      <c r="H5" s="370"/>
      <c r="I5" s="370"/>
      <c r="K5" s="369" t="s">
        <v>388</v>
      </c>
      <c r="L5" s="369"/>
    </row>
    <row r="6" spans="2:24" x14ac:dyDescent="0.25">
      <c r="D6" s="261" t="s">
        <v>389</v>
      </c>
      <c r="E6" s="261">
        <v>0.43</v>
      </c>
      <c r="G6" s="370"/>
      <c r="H6" s="370"/>
      <c r="I6" s="370"/>
      <c r="K6" s="371" t="s">
        <v>390</v>
      </c>
      <c r="L6" s="372"/>
    </row>
    <row r="7" spans="2:24" x14ac:dyDescent="0.25">
      <c r="D7" s="261" t="s">
        <v>391</v>
      </c>
      <c r="E7" s="261">
        <v>0.43</v>
      </c>
      <c r="G7" s="370"/>
      <c r="H7" s="370"/>
      <c r="I7" s="370"/>
      <c r="K7" s="373">
        <v>22</v>
      </c>
      <c r="L7" s="374"/>
    </row>
    <row r="8" spans="2:24" ht="34.5" customHeight="1" x14ac:dyDescent="0.25">
      <c r="D8" s="261" t="s">
        <v>392</v>
      </c>
      <c r="E8" s="261">
        <v>0.78</v>
      </c>
      <c r="G8" s="370"/>
      <c r="H8" s="370"/>
      <c r="I8" s="370"/>
      <c r="K8" s="375" t="s">
        <v>393</v>
      </c>
      <c r="L8" s="375"/>
    </row>
    <row r="9" spans="2:24" x14ac:dyDescent="0.25">
      <c r="D9" s="261" t="s">
        <v>394</v>
      </c>
      <c r="E9" s="261">
        <v>0.25</v>
      </c>
      <c r="G9" s="370"/>
      <c r="H9" s="370"/>
      <c r="I9" s="370"/>
    </row>
    <row r="10" spans="2:24" x14ac:dyDescent="0.25">
      <c r="D10" s="261" t="s">
        <v>395</v>
      </c>
      <c r="E10" s="261">
        <v>0.43</v>
      </c>
      <c r="G10" s="370"/>
      <c r="H10" s="370"/>
      <c r="I10" s="370"/>
    </row>
    <row r="11" spans="2:24" x14ac:dyDescent="0.25">
      <c r="D11" s="261" t="s">
        <v>396</v>
      </c>
      <c r="E11" s="261" t="s">
        <v>397</v>
      </c>
      <c r="G11" s="370"/>
      <c r="H11" s="370"/>
      <c r="I11" s="370"/>
    </row>
    <row r="12" spans="2:24" ht="16.5" thickBot="1" x14ac:dyDescent="0.3"/>
    <row r="13" spans="2:24" ht="33.75" customHeight="1" thickBot="1" x14ac:dyDescent="0.3">
      <c r="B13" s="363" t="s">
        <v>398</v>
      </c>
      <c r="C13" s="364"/>
      <c r="D13" s="364"/>
      <c r="E13" s="364"/>
      <c r="F13" s="364"/>
      <c r="G13" s="364"/>
      <c r="H13" s="364"/>
      <c r="I13" s="364"/>
      <c r="J13" s="364"/>
      <c r="K13" s="364"/>
      <c r="L13" s="365"/>
    </row>
    <row r="15" spans="2:24" ht="16.5" customHeight="1" x14ac:dyDescent="0.25">
      <c r="B15" s="262"/>
      <c r="C15" s="262"/>
      <c r="D15" s="263"/>
      <c r="E15" s="262"/>
      <c r="F15" s="262"/>
      <c r="G15" s="262"/>
      <c r="H15" s="262"/>
      <c r="I15" s="264"/>
      <c r="J15" s="262"/>
      <c r="K15" s="262"/>
      <c r="L15" s="265"/>
      <c r="M15" s="266"/>
      <c r="N15" s="266"/>
      <c r="O15" s="267"/>
      <c r="P15" s="267"/>
      <c r="Q15" s="268"/>
      <c r="R15" s="269"/>
      <c r="S15" s="269"/>
      <c r="T15" s="269"/>
      <c r="U15" s="269"/>
      <c r="V15" s="269"/>
      <c r="W15" s="269"/>
      <c r="X15" s="269"/>
    </row>
    <row r="16" spans="2:24" x14ac:dyDescent="0.25">
      <c r="B16" s="262"/>
      <c r="C16" s="262"/>
      <c r="D16" s="263"/>
      <c r="E16" s="262"/>
      <c r="F16" s="262"/>
      <c r="G16" s="262"/>
      <c r="H16" s="262"/>
      <c r="I16" s="264"/>
      <c r="J16" s="262"/>
      <c r="K16" s="262"/>
      <c r="L16" s="265"/>
      <c r="M16" s="266"/>
      <c r="N16" s="266"/>
      <c r="O16" s="267"/>
      <c r="P16" s="267"/>
      <c r="Q16" s="268"/>
      <c r="R16" s="269"/>
      <c r="S16" s="269"/>
      <c r="T16" s="269"/>
      <c r="U16" s="269"/>
      <c r="V16" s="269"/>
      <c r="W16" s="269"/>
      <c r="X16" s="269"/>
    </row>
    <row r="17" spans="1:24" x14ac:dyDescent="0.25">
      <c r="B17" s="262"/>
      <c r="C17" s="262"/>
      <c r="D17" s="263"/>
      <c r="E17" s="262"/>
      <c r="F17" s="262"/>
      <c r="G17" s="262"/>
      <c r="H17" s="262"/>
      <c r="I17" s="264"/>
      <c r="J17" s="262"/>
      <c r="K17" s="262"/>
      <c r="L17" s="265"/>
      <c r="M17" s="266"/>
      <c r="N17" s="266"/>
      <c r="O17" s="267"/>
      <c r="P17" s="267"/>
      <c r="Q17" s="268"/>
      <c r="R17" s="269"/>
      <c r="S17" s="269"/>
      <c r="T17" s="269"/>
      <c r="U17" s="269"/>
      <c r="V17" s="269"/>
      <c r="W17" s="269"/>
      <c r="X17" s="269"/>
    </row>
    <row r="18" spans="1:24" x14ac:dyDescent="0.25">
      <c r="B18" s="262"/>
      <c r="C18" s="262"/>
      <c r="D18" s="263"/>
      <c r="E18" s="262"/>
      <c r="F18" s="262"/>
      <c r="G18" s="262"/>
      <c r="H18" s="262"/>
      <c r="I18" s="264"/>
      <c r="J18" s="262"/>
      <c r="K18" s="262"/>
      <c r="L18" s="265"/>
      <c r="M18" s="266"/>
      <c r="N18" s="266"/>
      <c r="O18" s="267"/>
      <c r="P18" s="267"/>
      <c r="Q18" s="268"/>
      <c r="R18" s="269"/>
      <c r="S18" s="269"/>
      <c r="T18" s="269"/>
      <c r="U18" s="269"/>
      <c r="V18" s="269"/>
      <c r="W18" s="269"/>
      <c r="X18" s="269"/>
    </row>
    <row r="19" spans="1:24" ht="29.25" customHeight="1" x14ac:dyDescent="0.25">
      <c r="B19" s="366" t="s">
        <v>399</v>
      </c>
      <c r="C19" s="367"/>
      <c r="D19" s="367"/>
      <c r="E19" s="367"/>
      <c r="F19" s="367"/>
      <c r="G19" s="367"/>
      <c r="H19" s="367"/>
      <c r="I19" s="367"/>
      <c r="J19" s="367"/>
      <c r="K19" s="367"/>
      <c r="L19" s="367"/>
      <c r="M19" s="367"/>
      <c r="N19" s="367"/>
      <c r="O19" s="367"/>
      <c r="P19" s="367"/>
      <c r="Q19" s="367"/>
      <c r="R19" s="367"/>
      <c r="S19" s="368"/>
      <c r="T19" s="269"/>
      <c r="U19" s="269"/>
      <c r="V19" s="269"/>
      <c r="W19" s="269"/>
      <c r="X19" s="269"/>
    </row>
    <row r="20" spans="1:24" ht="63" x14ac:dyDescent="0.25">
      <c r="B20" s="358" t="s">
        <v>400</v>
      </c>
      <c r="C20" s="358" t="s">
        <v>401</v>
      </c>
      <c r="D20" s="270" t="s">
        <v>402</v>
      </c>
      <c r="E20" s="270" t="s">
        <v>403</v>
      </c>
      <c r="F20" s="270" t="s">
        <v>386</v>
      </c>
      <c r="G20" s="270" t="s">
        <v>404</v>
      </c>
      <c r="H20" s="270" t="s">
        <v>405</v>
      </c>
      <c r="I20" s="270" t="s">
        <v>406</v>
      </c>
      <c r="J20" s="270" t="s">
        <v>407</v>
      </c>
      <c r="K20" s="270" t="s">
        <v>408</v>
      </c>
      <c r="L20" s="358" t="s">
        <v>409</v>
      </c>
      <c r="M20" s="358"/>
      <c r="N20" s="270" t="s">
        <v>408</v>
      </c>
      <c r="O20" s="358" t="s">
        <v>410</v>
      </c>
      <c r="P20" s="358"/>
      <c r="Q20" s="270" t="s">
        <v>411</v>
      </c>
      <c r="R20" s="270" t="s">
        <v>412</v>
      </c>
      <c r="S20" s="271" t="s">
        <v>413</v>
      </c>
      <c r="T20" s="270" t="s">
        <v>410</v>
      </c>
      <c r="V20" s="269"/>
      <c r="W20" s="272" t="s">
        <v>414</v>
      </c>
      <c r="X20" s="272" t="s">
        <v>415</v>
      </c>
    </row>
    <row r="21" spans="1:24" x14ac:dyDescent="0.25">
      <c r="B21" s="358"/>
      <c r="C21" s="358"/>
      <c r="D21" s="270" t="s">
        <v>416</v>
      </c>
      <c r="E21" s="270" t="s">
        <v>417</v>
      </c>
      <c r="F21" s="270" t="s">
        <v>417</v>
      </c>
      <c r="G21" s="270" t="s">
        <v>418</v>
      </c>
      <c r="H21" s="270" t="s">
        <v>417</v>
      </c>
      <c r="I21" s="270" t="s">
        <v>419</v>
      </c>
      <c r="J21" s="270" t="s">
        <v>419</v>
      </c>
      <c r="K21" s="270" t="s">
        <v>420</v>
      </c>
      <c r="L21" s="270" t="s">
        <v>421</v>
      </c>
      <c r="M21" s="270" t="s">
        <v>338</v>
      </c>
      <c r="N21" s="270" t="s">
        <v>422</v>
      </c>
      <c r="O21" s="273" t="s">
        <v>423</v>
      </c>
      <c r="P21" s="270" t="s">
        <v>423</v>
      </c>
      <c r="Q21" s="270"/>
      <c r="R21" s="270"/>
      <c r="S21" s="270" t="s">
        <v>423</v>
      </c>
      <c r="T21" s="270" t="s">
        <v>423</v>
      </c>
      <c r="U21" s="269"/>
      <c r="V21" s="269"/>
      <c r="W21" s="272" t="s">
        <v>36</v>
      </c>
      <c r="X21" s="272" t="s">
        <v>424</v>
      </c>
    </row>
    <row r="22" spans="1:24" x14ac:dyDescent="0.25">
      <c r="B22" s="351">
        <v>25</v>
      </c>
      <c r="C22" s="274" t="s">
        <v>389</v>
      </c>
      <c r="D22" s="275">
        <v>4.8</v>
      </c>
      <c r="E22" s="274">
        <v>0.96899999999999997</v>
      </c>
      <c r="F22" s="274">
        <v>0.43</v>
      </c>
      <c r="G22" s="274">
        <v>40</v>
      </c>
      <c r="H22" s="274">
        <v>1</v>
      </c>
      <c r="I22" s="274">
        <v>39</v>
      </c>
      <c r="J22" s="274">
        <f>H22*I22</f>
        <v>39</v>
      </c>
      <c r="K22" s="274">
        <v>1339</v>
      </c>
      <c r="L22" s="276">
        <f>(D22/E22)*F22*G22*J22*K22</f>
        <v>4449293.8699690411</v>
      </c>
      <c r="M22" s="276">
        <f>(L22*60)/1000000</f>
        <v>266.95763219814245</v>
      </c>
      <c r="N22" s="277">
        <f>K22/1000</f>
        <v>1.339</v>
      </c>
      <c r="O22" s="278">
        <f>M22/N22</f>
        <v>199.37089783281738</v>
      </c>
      <c r="P22" s="352">
        <f>SUM(O22:O29)</f>
        <v>238.8603654513486</v>
      </c>
      <c r="Q22" s="279">
        <f>(O22/$P$22)*100</f>
        <v>83.467551201342147</v>
      </c>
      <c r="R22" s="359">
        <v>22</v>
      </c>
      <c r="S22" s="280">
        <f>(Q22/100)*$R$22</f>
        <v>18.362861264295272</v>
      </c>
      <c r="T22" s="362">
        <f>SUM(S22:S29)</f>
        <v>21.999999999999996</v>
      </c>
      <c r="U22" s="269"/>
      <c r="V22" s="269"/>
      <c r="W22" s="281">
        <v>0.5</v>
      </c>
      <c r="X22" s="282">
        <v>3.77</v>
      </c>
    </row>
    <row r="23" spans="1:24" ht="18" customHeight="1" x14ac:dyDescent="0.25">
      <c r="B23" s="351"/>
      <c r="C23" s="274" t="s">
        <v>391</v>
      </c>
      <c r="D23" s="275">
        <v>5.2299999999999999E-2</v>
      </c>
      <c r="E23" s="274">
        <v>0.94299999999999995</v>
      </c>
      <c r="F23" s="274">
        <v>0.43</v>
      </c>
      <c r="G23" s="274">
        <v>40</v>
      </c>
      <c r="H23" s="274">
        <v>1</v>
      </c>
      <c r="I23" s="274">
        <v>16</v>
      </c>
      <c r="J23" s="274">
        <f>H23*I23</f>
        <v>16</v>
      </c>
      <c r="K23" s="274">
        <v>1339</v>
      </c>
      <c r="L23" s="276">
        <f>(D23/E23)*F23*G23*J23*K23</f>
        <v>20437.087423117711</v>
      </c>
      <c r="M23" s="276">
        <f>(L23*60)/1000000</f>
        <v>1.2262252453870626</v>
      </c>
      <c r="N23" s="277">
        <f>K23/1000</f>
        <v>1.339</v>
      </c>
      <c r="O23" s="278">
        <f>M23/N23</f>
        <v>0.91577688229056209</v>
      </c>
      <c r="P23" s="352"/>
      <c r="Q23" s="279">
        <f>(O23/$P$22)*100</f>
        <v>0.38339423979366255</v>
      </c>
      <c r="R23" s="360"/>
      <c r="S23" s="280">
        <f>(Q23/100)*$R$22</f>
        <v>8.434673275460576E-2</v>
      </c>
      <c r="T23" s="362"/>
      <c r="U23" s="269"/>
      <c r="V23" s="269"/>
      <c r="W23" s="281">
        <v>1</v>
      </c>
      <c r="X23" s="282">
        <v>5.69</v>
      </c>
    </row>
    <row r="24" spans="1:24" x14ac:dyDescent="0.25">
      <c r="B24" s="351"/>
      <c r="C24" s="274" t="s">
        <v>425</v>
      </c>
      <c r="D24" s="275">
        <v>9.8000000000000004E-2</v>
      </c>
      <c r="E24" s="274">
        <v>0.99539999999999995</v>
      </c>
      <c r="F24" s="274">
        <v>0.78</v>
      </c>
      <c r="G24" s="274">
        <v>40</v>
      </c>
      <c r="H24" s="274">
        <v>1</v>
      </c>
      <c r="I24" s="274">
        <v>61</v>
      </c>
      <c r="J24" s="274">
        <f t="shared" ref="J24:J26" si="0">H24*I24</f>
        <v>61</v>
      </c>
      <c r="K24" s="274">
        <v>1339</v>
      </c>
      <c r="L24" s="276">
        <f>(D24/E24)*F24*G24*J24*K24</f>
        <v>250895.83122362875</v>
      </c>
      <c r="M24" s="276">
        <f t="shared" ref="M24:M26" si="1">(L24*60)/1000000</f>
        <v>15.053749873417724</v>
      </c>
      <c r="N24" s="277">
        <f>K24/1000</f>
        <v>1.339</v>
      </c>
      <c r="O24" s="278">
        <f t="shared" ref="O24:O26" si="2">M24/N24</f>
        <v>11.242531645569622</v>
      </c>
      <c r="P24" s="352"/>
      <c r="Q24" s="279">
        <f>(O24/$P$22)*100</f>
        <v>4.7067380242535535</v>
      </c>
      <c r="R24" s="360"/>
      <c r="S24" s="280">
        <f>(Q24/100)*$R$22</f>
        <v>1.0354823653357816</v>
      </c>
      <c r="T24" s="362"/>
      <c r="U24" s="269"/>
      <c r="V24" s="269"/>
      <c r="W24" s="283">
        <v>1.5</v>
      </c>
      <c r="X24" s="284">
        <v>7.61</v>
      </c>
    </row>
    <row r="25" spans="1:24" x14ac:dyDescent="0.25">
      <c r="B25" s="351"/>
      <c r="C25" s="274" t="s">
        <v>426</v>
      </c>
      <c r="D25" s="275">
        <v>0.2286</v>
      </c>
      <c r="E25" s="274">
        <v>0.97499999999999998</v>
      </c>
      <c r="F25" s="274">
        <v>0.25</v>
      </c>
      <c r="G25" s="274">
        <v>40</v>
      </c>
      <c r="H25" s="274">
        <v>1</v>
      </c>
      <c r="I25" s="274">
        <v>11</v>
      </c>
      <c r="J25" s="274">
        <f t="shared" si="0"/>
        <v>11</v>
      </c>
      <c r="K25" s="274">
        <v>1339</v>
      </c>
      <c r="L25" s="276">
        <f>(D25/E25)*F25*G25*J25*K25</f>
        <v>34533.839999999997</v>
      </c>
      <c r="M25" s="276">
        <f t="shared" si="1"/>
        <v>2.0720304</v>
      </c>
      <c r="N25" s="277">
        <f>K25/1000</f>
        <v>1.339</v>
      </c>
      <c r="O25" s="278">
        <f t="shared" si="2"/>
        <v>1.5474461538461539</v>
      </c>
      <c r="P25" s="352"/>
      <c r="Q25" s="279">
        <f>(O25/$P$22)*100</f>
        <v>0.64784551046052041</v>
      </c>
      <c r="R25" s="360"/>
      <c r="S25" s="280">
        <f>(Q25/100)*$R$22</f>
        <v>0.14252601230131448</v>
      </c>
      <c r="T25" s="362"/>
      <c r="U25" s="269"/>
      <c r="V25" s="269"/>
      <c r="W25" s="283">
        <v>2</v>
      </c>
      <c r="X25" s="284">
        <v>9.4</v>
      </c>
    </row>
    <row r="26" spans="1:24" s="269" customFormat="1" x14ac:dyDescent="0.25">
      <c r="B26" s="351"/>
      <c r="C26" s="285" t="s">
        <v>395</v>
      </c>
      <c r="D26" s="286">
        <v>4.3999999999999997E-2</v>
      </c>
      <c r="E26" s="285">
        <v>0.96789999999999998</v>
      </c>
      <c r="F26" s="285">
        <v>0.43</v>
      </c>
      <c r="G26" s="285">
        <v>40</v>
      </c>
      <c r="H26" s="285">
        <v>1</v>
      </c>
      <c r="I26" s="285">
        <v>64.5</v>
      </c>
      <c r="J26" s="285">
        <f t="shared" si="0"/>
        <v>64.5</v>
      </c>
      <c r="K26" s="285">
        <v>1339</v>
      </c>
      <c r="L26" s="287">
        <f>(D26/E26)*F26*G26*J26*K26</f>
        <v>67529.094327926432</v>
      </c>
      <c r="M26" s="287">
        <f t="shared" si="1"/>
        <v>4.0517456596755856</v>
      </c>
      <c r="N26" s="288">
        <f>K26/1000</f>
        <v>1.339</v>
      </c>
      <c r="O26" s="289">
        <f t="shared" si="2"/>
        <v>3.0259489616695934</v>
      </c>
      <c r="P26" s="352"/>
      <c r="Q26" s="290">
        <f>(O26/$P$22)*100</f>
        <v>1.2668275693004927</v>
      </c>
      <c r="R26" s="360"/>
      <c r="S26" s="291">
        <f>(Q26/100)*$R$22</f>
        <v>0.27870206524610841</v>
      </c>
      <c r="T26" s="362"/>
      <c r="W26" s="281">
        <v>3</v>
      </c>
      <c r="X26" s="282">
        <v>12.3</v>
      </c>
    </row>
    <row r="27" spans="1:24" s="269" customFormat="1" ht="63" x14ac:dyDescent="0.25">
      <c r="B27" s="351"/>
      <c r="C27" s="274"/>
      <c r="D27" s="292" t="s">
        <v>427</v>
      </c>
      <c r="E27" s="292" t="s">
        <v>403</v>
      </c>
      <c r="F27" s="292" t="s">
        <v>428</v>
      </c>
      <c r="G27" s="292" t="s">
        <v>404</v>
      </c>
      <c r="H27" s="285"/>
      <c r="I27" s="274"/>
      <c r="J27" s="274"/>
      <c r="K27" s="292" t="s">
        <v>408</v>
      </c>
      <c r="L27" s="357" t="s">
        <v>409</v>
      </c>
      <c r="M27" s="357"/>
      <c r="N27" s="270" t="s">
        <v>408</v>
      </c>
      <c r="O27" s="260" t="s">
        <v>429</v>
      </c>
      <c r="P27" s="352"/>
      <c r="Q27" s="293" t="s">
        <v>411</v>
      </c>
      <c r="R27" s="360"/>
      <c r="S27" s="271" t="s">
        <v>413</v>
      </c>
      <c r="T27" s="362"/>
      <c r="V27" s="294"/>
      <c r="W27" s="281">
        <v>4</v>
      </c>
      <c r="X27" s="282">
        <v>14.24</v>
      </c>
    </row>
    <row r="28" spans="1:24" s="269" customFormat="1" x14ac:dyDescent="0.25">
      <c r="B28" s="351"/>
      <c r="C28" s="270"/>
      <c r="D28" s="292" t="s">
        <v>430</v>
      </c>
      <c r="E28" s="270" t="s">
        <v>417</v>
      </c>
      <c r="F28" s="292" t="s">
        <v>417</v>
      </c>
      <c r="G28" s="292" t="s">
        <v>418</v>
      </c>
      <c r="H28" s="295"/>
      <c r="I28" s="270"/>
      <c r="J28" s="270"/>
      <c r="K28" s="292" t="s">
        <v>420</v>
      </c>
      <c r="L28" s="292" t="s">
        <v>421</v>
      </c>
      <c r="M28" s="292" t="s">
        <v>338</v>
      </c>
      <c r="N28" s="292" t="s">
        <v>431</v>
      </c>
      <c r="O28" s="273" t="s">
        <v>423</v>
      </c>
      <c r="P28" s="352"/>
      <c r="Q28" s="296"/>
      <c r="R28" s="360"/>
      <c r="S28" s="271"/>
      <c r="T28" s="362"/>
      <c r="W28" s="281">
        <v>4.5</v>
      </c>
      <c r="X28" s="282">
        <v>14.94</v>
      </c>
    </row>
    <row r="29" spans="1:24" s="269" customFormat="1" x14ac:dyDescent="0.25">
      <c r="B29" s="351"/>
      <c r="C29" s="274" t="s">
        <v>396</v>
      </c>
      <c r="D29" s="275">
        <v>9.16</v>
      </c>
      <c r="E29" s="274">
        <v>0.96599999999999997</v>
      </c>
      <c r="F29" s="274">
        <v>1</v>
      </c>
      <c r="G29" s="274">
        <v>40</v>
      </c>
      <c r="H29" s="274">
        <v>1</v>
      </c>
      <c r="I29" s="285"/>
      <c r="J29" s="285"/>
      <c r="K29" s="274">
        <v>1339</v>
      </c>
      <c r="L29" s="279">
        <f>(D29/E29)*F29*G29*K29*H29</f>
        <v>507877.43271221535</v>
      </c>
      <c r="M29" s="297">
        <f t="shared" ref="M29" si="3">(L29*60)/1000000</f>
        <v>30.472645962732923</v>
      </c>
      <c r="N29" s="277">
        <f>K29/1000</f>
        <v>1.339</v>
      </c>
      <c r="O29" s="280">
        <f>M29/N29</f>
        <v>22.757763975155282</v>
      </c>
      <c r="P29" s="352"/>
      <c r="Q29" s="279">
        <f>(O29/$P$22)*100</f>
        <v>9.5276434548496134</v>
      </c>
      <c r="R29" s="361"/>
      <c r="S29" s="280">
        <f>(Q29/100)*$R$22</f>
        <v>2.0960815600669149</v>
      </c>
      <c r="T29" s="362"/>
      <c r="V29" s="260"/>
      <c r="W29" s="281">
        <v>5</v>
      </c>
      <c r="X29" s="282">
        <v>15.5</v>
      </c>
    </row>
    <row r="30" spans="1:24" s="269" customFormat="1" x14ac:dyDescent="0.25">
      <c r="A30" s="298"/>
      <c r="B30" s="260"/>
      <c r="C30" s="260"/>
      <c r="D30" s="260"/>
      <c r="E30" s="260"/>
      <c r="F30" s="260"/>
      <c r="G30" s="260"/>
      <c r="H30" s="260"/>
      <c r="I30" s="260"/>
      <c r="J30" s="260"/>
      <c r="K30" s="260"/>
      <c r="L30" s="260"/>
      <c r="M30" s="260"/>
      <c r="N30" s="260"/>
      <c r="O30" s="260"/>
      <c r="P30" s="260"/>
      <c r="Q30" s="299">
        <f>SUM(Q22:Q29)</f>
        <v>99.999999999999986</v>
      </c>
      <c r="R30" s="260"/>
      <c r="S30" s="300"/>
      <c r="V30" s="260"/>
      <c r="W30" s="281">
        <v>6</v>
      </c>
      <c r="X30" s="284">
        <v>16.399999999999999</v>
      </c>
    </row>
    <row r="31" spans="1:24" s="269" customFormat="1" ht="63" x14ac:dyDescent="0.25">
      <c r="B31" s="358" t="s">
        <v>400</v>
      </c>
      <c r="C31" s="358" t="s">
        <v>401</v>
      </c>
      <c r="D31" s="270" t="s">
        <v>402</v>
      </c>
      <c r="E31" s="270" t="s">
        <v>403</v>
      </c>
      <c r="F31" s="270" t="s">
        <v>386</v>
      </c>
      <c r="G31" s="301" t="s">
        <v>404</v>
      </c>
      <c r="H31" s="301" t="s">
        <v>405</v>
      </c>
      <c r="I31" s="270" t="s">
        <v>406</v>
      </c>
      <c r="J31" s="270" t="s">
        <v>407</v>
      </c>
      <c r="K31" s="301" t="s">
        <v>408</v>
      </c>
      <c r="L31" s="358" t="s">
        <v>409</v>
      </c>
      <c r="M31" s="358"/>
      <c r="N31" s="270" t="s">
        <v>408</v>
      </c>
      <c r="O31" s="358" t="s">
        <v>410</v>
      </c>
      <c r="P31" s="358"/>
      <c r="Q31" s="270" t="s">
        <v>411</v>
      </c>
      <c r="R31" s="270" t="s">
        <v>412</v>
      </c>
      <c r="S31" s="271" t="s">
        <v>413</v>
      </c>
      <c r="T31" s="270" t="s">
        <v>410</v>
      </c>
      <c r="W31" s="281">
        <v>10.3</v>
      </c>
      <c r="X31" s="284">
        <v>18.62</v>
      </c>
    </row>
    <row r="32" spans="1:24" s="269" customFormat="1" x14ac:dyDescent="0.25">
      <c r="B32" s="358"/>
      <c r="C32" s="358"/>
      <c r="D32" s="270" t="s">
        <v>416</v>
      </c>
      <c r="E32" s="270" t="s">
        <v>417</v>
      </c>
      <c r="F32" s="270" t="s">
        <v>417</v>
      </c>
      <c r="G32" s="301" t="s">
        <v>418</v>
      </c>
      <c r="H32" s="301" t="s">
        <v>417</v>
      </c>
      <c r="I32" s="270" t="s">
        <v>419</v>
      </c>
      <c r="J32" s="270" t="s">
        <v>419</v>
      </c>
      <c r="K32" s="301" t="s">
        <v>420</v>
      </c>
      <c r="L32" s="270" t="s">
        <v>421</v>
      </c>
      <c r="M32" s="270" t="s">
        <v>338</v>
      </c>
      <c r="N32" s="270" t="s">
        <v>422</v>
      </c>
      <c r="O32" s="273" t="s">
        <v>423</v>
      </c>
      <c r="P32" s="270" t="s">
        <v>423</v>
      </c>
      <c r="Q32" s="270"/>
      <c r="R32" s="270" t="s">
        <v>423</v>
      </c>
      <c r="S32" s="270" t="s">
        <v>423</v>
      </c>
      <c r="T32" s="270" t="s">
        <v>423</v>
      </c>
      <c r="W32" s="281">
        <v>12</v>
      </c>
      <c r="X32" s="284">
        <v>19.260000000000002</v>
      </c>
    </row>
    <row r="33" spans="2:24" s="269" customFormat="1" x14ac:dyDescent="0.25">
      <c r="B33" s="351">
        <v>0.5</v>
      </c>
      <c r="C33" s="274" t="s">
        <v>389</v>
      </c>
      <c r="D33" s="275">
        <v>4.8</v>
      </c>
      <c r="E33" s="274">
        <v>0.96899999999999997</v>
      </c>
      <c r="F33" s="274">
        <v>0.43</v>
      </c>
      <c r="G33" s="301">
        <v>26</v>
      </c>
      <c r="H33" s="302">
        <v>0.19512290084203898</v>
      </c>
      <c r="I33" s="274">
        <v>39</v>
      </c>
      <c r="J33" s="276">
        <f>H33*I33</f>
        <v>7.6097931328395205</v>
      </c>
      <c r="K33" s="301">
        <v>226</v>
      </c>
      <c r="L33" s="279">
        <f>(D33/E33)*F33*G33*J33*K33</f>
        <v>95244.642045240675</v>
      </c>
      <c r="M33" s="297">
        <f>(L33*60)/1000000</f>
        <v>5.7146785227144408</v>
      </c>
      <c r="N33" s="277">
        <f>K33/1000</f>
        <v>0.22600000000000001</v>
      </c>
      <c r="O33" s="280">
        <f>M33/N33</f>
        <v>25.286188153603721</v>
      </c>
      <c r="P33" s="352">
        <f>SUM(O33:O40)</f>
        <v>40.974270507712497</v>
      </c>
      <c r="Q33" s="303">
        <f>(O33/$P$33)*100</f>
        <v>61.712357145795082</v>
      </c>
      <c r="R33" s="353">
        <f>$T$22/($P$22/P33)</f>
        <v>3.7738950514721541</v>
      </c>
      <c r="S33" s="280">
        <f>(Q33/100)*$R$33</f>
        <v>2.3289595924719828</v>
      </c>
      <c r="T33" s="356">
        <f>SUM(S33:S40)</f>
        <v>3.773895051472155</v>
      </c>
      <c r="W33" s="281">
        <v>13</v>
      </c>
      <c r="X33" s="284">
        <v>19.600000000000001</v>
      </c>
    </row>
    <row r="34" spans="2:24" s="269" customFormat="1" x14ac:dyDescent="0.25">
      <c r="B34" s="351"/>
      <c r="C34" s="274" t="s">
        <v>391</v>
      </c>
      <c r="D34" s="275">
        <v>5.2299999999999999E-2</v>
      </c>
      <c r="E34" s="274">
        <v>0.94299999999999995</v>
      </c>
      <c r="F34" s="274">
        <v>0.43</v>
      </c>
      <c r="G34" s="301">
        <v>26</v>
      </c>
      <c r="H34" s="302">
        <v>0.78180000000000005</v>
      </c>
      <c r="I34" s="274">
        <v>16</v>
      </c>
      <c r="J34" s="276">
        <f t="shared" ref="J34:J37" si="4">H34*I34</f>
        <v>12.508800000000001</v>
      </c>
      <c r="K34" s="301">
        <v>226</v>
      </c>
      <c r="L34" s="279">
        <f t="shared" ref="L34:L36" si="5">(D34/E34)*F34*G34*J34*K34</f>
        <v>1752.8949408305409</v>
      </c>
      <c r="M34" s="297">
        <f>(L34*60)/1000000</f>
        <v>0.10517369644983245</v>
      </c>
      <c r="N34" s="277">
        <f t="shared" ref="N34:N36" si="6">K34/1000</f>
        <v>0.22600000000000001</v>
      </c>
      <c r="O34" s="280">
        <f>M34/N34</f>
        <v>0.46537033827359486</v>
      </c>
      <c r="P34" s="352"/>
      <c r="Q34" s="303">
        <f t="shared" ref="Q34:Q37" si="7">(O34/$P$33)*100</f>
        <v>1.1357623516103825</v>
      </c>
      <c r="R34" s="354"/>
      <c r="S34" s="280">
        <f>(Q34/100)*$R$33</f>
        <v>4.2862479183907995E-2</v>
      </c>
      <c r="T34" s="356"/>
      <c r="W34" s="281">
        <v>15</v>
      </c>
      <c r="X34" s="284">
        <v>20.2</v>
      </c>
    </row>
    <row r="35" spans="2:24" s="269" customFormat="1" x14ac:dyDescent="0.25">
      <c r="B35" s="351"/>
      <c r="C35" s="274" t="s">
        <v>425</v>
      </c>
      <c r="D35" s="275">
        <v>9.8000000000000004E-2</v>
      </c>
      <c r="E35" s="274">
        <v>0.99539999999999995</v>
      </c>
      <c r="F35" s="274">
        <v>0.78</v>
      </c>
      <c r="G35" s="301">
        <v>26</v>
      </c>
      <c r="H35" s="302">
        <v>0.96386855055928622</v>
      </c>
      <c r="I35" s="274">
        <v>61</v>
      </c>
      <c r="J35" s="276">
        <f t="shared" si="4"/>
        <v>58.795981584116461</v>
      </c>
      <c r="K35" s="301">
        <v>226</v>
      </c>
      <c r="L35" s="279">
        <f t="shared" si="5"/>
        <v>26530.930032685588</v>
      </c>
      <c r="M35" s="297">
        <f>(L35*60)/1000000</f>
        <v>1.5918558019611353</v>
      </c>
      <c r="N35" s="277">
        <f t="shared" si="6"/>
        <v>0.22600000000000001</v>
      </c>
      <c r="O35" s="280">
        <f>M35/N35</f>
        <v>7.0436097431908635</v>
      </c>
      <c r="P35" s="352"/>
      <c r="Q35" s="303">
        <f t="shared" si="7"/>
        <v>17.190323722456657</v>
      </c>
      <c r="R35" s="354"/>
      <c r="S35" s="280">
        <f>(Q35/100)*$R$33</f>
        <v>0.64874477629383553</v>
      </c>
      <c r="T35" s="356"/>
      <c r="W35" s="281">
        <v>19</v>
      </c>
      <c r="X35" s="284">
        <v>20.399999999999999</v>
      </c>
    </row>
    <row r="36" spans="2:24" s="269" customFormat="1" x14ac:dyDescent="0.25">
      <c r="B36" s="351"/>
      <c r="C36" s="274" t="s">
        <v>426</v>
      </c>
      <c r="D36" s="275">
        <v>0.2286</v>
      </c>
      <c r="E36" s="274">
        <v>0.97499999999999998</v>
      </c>
      <c r="F36" s="274">
        <v>0.25</v>
      </c>
      <c r="G36" s="301">
        <v>26</v>
      </c>
      <c r="H36" s="302">
        <v>0.64890000000000003</v>
      </c>
      <c r="I36" s="274">
        <v>11</v>
      </c>
      <c r="J36" s="276">
        <f t="shared" si="4"/>
        <v>7.1379000000000001</v>
      </c>
      <c r="K36" s="301">
        <v>226</v>
      </c>
      <c r="L36" s="279">
        <f t="shared" si="5"/>
        <v>2458.4640696000001</v>
      </c>
      <c r="M36" s="297">
        <f>(L36*60)/1000000</f>
        <v>0.14750784417600002</v>
      </c>
      <c r="N36" s="277">
        <f t="shared" si="6"/>
        <v>0.22600000000000001</v>
      </c>
      <c r="O36" s="280">
        <f>M36/N36</f>
        <v>0.6526895760000001</v>
      </c>
      <c r="P36" s="352"/>
      <c r="Q36" s="303">
        <f t="shared" si="7"/>
        <v>1.5929254332353415</v>
      </c>
      <c r="R36" s="354"/>
      <c r="S36" s="280">
        <f>(Q36/100)*$R$33</f>
        <v>6.0115334098509929E-2</v>
      </c>
      <c r="T36" s="356"/>
      <c r="W36" s="281">
        <v>20</v>
      </c>
      <c r="X36" s="284">
        <v>21.2</v>
      </c>
    </row>
    <row r="37" spans="2:24" s="269" customFormat="1" x14ac:dyDescent="0.25">
      <c r="B37" s="351"/>
      <c r="C37" s="274" t="s">
        <v>395</v>
      </c>
      <c r="D37" s="275">
        <v>4.3999999999999997E-2</v>
      </c>
      <c r="E37" s="274">
        <v>0.96789999999999998</v>
      </c>
      <c r="F37" s="274">
        <v>0.43</v>
      </c>
      <c r="G37" s="301">
        <v>26</v>
      </c>
      <c r="H37" s="302">
        <v>0.94638599999999995</v>
      </c>
      <c r="I37" s="274">
        <v>64.5</v>
      </c>
      <c r="J37" s="276">
        <f t="shared" si="4"/>
        <v>61.041896999999999</v>
      </c>
      <c r="K37" s="301">
        <v>226</v>
      </c>
      <c r="L37" s="279">
        <f t="shared" ref="L37" si="8">(D37/E37)*F37*G37*J37*K37</f>
        <v>7011.3306888379366</v>
      </c>
      <c r="M37" s="297">
        <f>(L37*60)/1000000</f>
        <v>0.42067984133027619</v>
      </c>
      <c r="N37" s="306">
        <f t="shared" ref="N37" si="9">K37/1000</f>
        <v>0.22600000000000001</v>
      </c>
      <c r="O37" s="280">
        <f>M37/N37</f>
        <v>1.8614152271251159</v>
      </c>
      <c r="P37" s="352"/>
      <c r="Q37" s="303">
        <f t="shared" si="7"/>
        <v>4.542888022313285</v>
      </c>
      <c r="R37" s="354"/>
      <c r="S37" s="280">
        <f>(Q37/100)*$R$33</f>
        <v>0.17144382626800228</v>
      </c>
      <c r="T37" s="356"/>
      <c r="W37" s="281">
        <v>25</v>
      </c>
      <c r="X37" s="282">
        <v>21.39</v>
      </c>
    </row>
    <row r="38" spans="2:24" s="269" customFormat="1" ht="63" x14ac:dyDescent="0.25">
      <c r="B38" s="351"/>
      <c r="C38" s="274"/>
      <c r="D38" s="292" t="s">
        <v>427</v>
      </c>
      <c r="E38" s="292" t="s">
        <v>403</v>
      </c>
      <c r="F38" s="292" t="s">
        <v>428</v>
      </c>
      <c r="G38" s="304" t="s">
        <v>404</v>
      </c>
      <c r="H38" s="301"/>
      <c r="I38" s="270"/>
      <c r="J38" s="270"/>
      <c r="K38" s="304" t="s">
        <v>408</v>
      </c>
      <c r="L38" s="357" t="s">
        <v>409</v>
      </c>
      <c r="M38" s="357"/>
      <c r="N38" s="270" t="s">
        <v>408</v>
      </c>
      <c r="O38" s="260" t="s">
        <v>429</v>
      </c>
      <c r="P38" s="352"/>
      <c r="Q38" s="270" t="s">
        <v>411</v>
      </c>
      <c r="R38" s="354"/>
      <c r="S38" s="271" t="s">
        <v>413</v>
      </c>
      <c r="T38" s="356"/>
      <c r="W38" s="281">
        <v>49</v>
      </c>
      <c r="X38" s="284">
        <v>22</v>
      </c>
    </row>
    <row r="39" spans="2:24" x14ac:dyDescent="0.25">
      <c r="B39" s="351"/>
      <c r="C39" s="270"/>
      <c r="D39" s="292" t="s">
        <v>430</v>
      </c>
      <c r="E39" s="292" t="s">
        <v>417</v>
      </c>
      <c r="F39" s="292" t="s">
        <v>417</v>
      </c>
      <c r="G39" s="304" t="s">
        <v>418</v>
      </c>
      <c r="H39" s="301"/>
      <c r="I39" s="270"/>
      <c r="J39" s="270"/>
      <c r="K39" s="304" t="s">
        <v>420</v>
      </c>
      <c r="L39" s="292" t="s">
        <v>421</v>
      </c>
      <c r="M39" s="292" t="s">
        <v>338</v>
      </c>
      <c r="N39" s="270" t="s">
        <v>422</v>
      </c>
      <c r="O39" s="273" t="s">
        <v>423</v>
      </c>
      <c r="P39" s="352"/>
      <c r="Q39" s="305"/>
      <c r="R39" s="354"/>
      <c r="S39" s="271"/>
      <c r="T39" s="356"/>
      <c r="U39" s="269"/>
      <c r="V39" s="269"/>
      <c r="W39" s="281">
        <v>50</v>
      </c>
      <c r="X39" s="284">
        <v>19.59</v>
      </c>
    </row>
    <row r="40" spans="2:24" x14ac:dyDescent="0.25">
      <c r="B40" s="351"/>
      <c r="C40" s="274" t="s">
        <v>396</v>
      </c>
      <c r="D40" s="275">
        <v>9.16</v>
      </c>
      <c r="E40" s="274">
        <v>0.96599999999999997</v>
      </c>
      <c r="F40" s="274">
        <v>1</v>
      </c>
      <c r="G40" s="301">
        <v>26</v>
      </c>
      <c r="H40" s="301">
        <v>0.38296296296296295</v>
      </c>
      <c r="I40" s="285"/>
      <c r="J40" s="274"/>
      <c r="K40" s="301">
        <v>226</v>
      </c>
      <c r="L40" s="279">
        <f>(D40/E40)*F40*G40*K40*H40</f>
        <v>21338.15713518902</v>
      </c>
      <c r="M40" s="297">
        <f t="shared" ref="M40" si="10">(L40*60)/1000000</f>
        <v>1.2802894281113411</v>
      </c>
      <c r="N40" s="277">
        <f>K40/1000</f>
        <v>0.22600000000000001</v>
      </c>
      <c r="O40" s="280">
        <f>M40/N40</f>
        <v>5.664997469519208</v>
      </c>
      <c r="P40" s="352"/>
      <c r="Q40" s="303">
        <f>(O40/$P$33)*100</f>
        <v>13.825743324589265</v>
      </c>
      <c r="R40" s="355"/>
      <c r="S40" s="280">
        <f>(Q40/100)*$R$33</f>
        <v>0.52176904315591599</v>
      </c>
      <c r="T40" s="356"/>
      <c r="U40" s="269"/>
      <c r="V40" s="269"/>
      <c r="W40" s="281">
        <v>58</v>
      </c>
      <c r="X40" s="284">
        <v>19.38</v>
      </c>
    </row>
    <row r="41" spans="2:24" x14ac:dyDescent="0.25">
      <c r="Q41" s="299">
        <f>SUM(Q33:Q40)</f>
        <v>100</v>
      </c>
      <c r="U41" s="269"/>
      <c r="V41" s="269"/>
      <c r="W41" s="281">
        <v>60</v>
      </c>
      <c r="X41" s="284">
        <v>17.899999999999999</v>
      </c>
    </row>
    <row r="42" spans="2:24" ht="63" x14ac:dyDescent="0.25">
      <c r="B42" s="358" t="s">
        <v>400</v>
      </c>
      <c r="C42" s="358" t="s">
        <v>401</v>
      </c>
      <c r="D42" s="270" t="s">
        <v>402</v>
      </c>
      <c r="E42" s="270" t="s">
        <v>403</v>
      </c>
      <c r="F42" s="270" t="s">
        <v>386</v>
      </c>
      <c r="G42" s="301" t="s">
        <v>404</v>
      </c>
      <c r="H42" s="301" t="s">
        <v>405</v>
      </c>
      <c r="I42" s="270" t="s">
        <v>406</v>
      </c>
      <c r="J42" s="270" t="s">
        <v>407</v>
      </c>
      <c r="K42" s="301" t="s">
        <v>408</v>
      </c>
      <c r="L42" s="358" t="s">
        <v>409</v>
      </c>
      <c r="M42" s="358"/>
      <c r="N42" s="270" t="s">
        <v>408</v>
      </c>
      <c r="O42" s="358" t="s">
        <v>410</v>
      </c>
      <c r="P42" s="358"/>
      <c r="Q42" s="270" t="s">
        <v>411</v>
      </c>
      <c r="R42" s="270" t="s">
        <v>412</v>
      </c>
      <c r="S42" s="271" t="s">
        <v>413</v>
      </c>
      <c r="T42" s="270" t="s">
        <v>410</v>
      </c>
      <c r="U42" s="269"/>
      <c r="V42" s="269"/>
      <c r="W42" s="269"/>
      <c r="X42" s="260">
        <v>17.600000000000001</v>
      </c>
    </row>
    <row r="43" spans="2:24" x14ac:dyDescent="0.25">
      <c r="B43" s="358"/>
      <c r="C43" s="358"/>
      <c r="D43" s="270" t="s">
        <v>416</v>
      </c>
      <c r="E43" s="270" t="s">
        <v>417</v>
      </c>
      <c r="F43" s="270" t="s">
        <v>417</v>
      </c>
      <c r="G43" s="301" t="s">
        <v>418</v>
      </c>
      <c r="H43" s="301" t="s">
        <v>417</v>
      </c>
      <c r="I43" s="270" t="s">
        <v>419</v>
      </c>
      <c r="J43" s="270" t="s">
        <v>419</v>
      </c>
      <c r="K43" s="301" t="s">
        <v>420</v>
      </c>
      <c r="L43" s="270" t="s">
        <v>421</v>
      </c>
      <c r="M43" s="270" t="s">
        <v>338</v>
      </c>
      <c r="N43" s="270" t="s">
        <v>422</v>
      </c>
      <c r="O43" s="273" t="s">
        <v>423</v>
      </c>
      <c r="P43" s="270" t="s">
        <v>423</v>
      </c>
      <c r="Q43" s="270"/>
      <c r="R43" s="270" t="s">
        <v>423</v>
      </c>
      <c r="S43" s="270" t="s">
        <v>423</v>
      </c>
      <c r="T43" s="270" t="s">
        <v>423</v>
      </c>
      <c r="U43" s="269"/>
      <c r="V43" s="269"/>
      <c r="W43" s="269"/>
    </row>
    <row r="44" spans="2:24" x14ac:dyDescent="0.25">
      <c r="B44" s="351">
        <v>1</v>
      </c>
      <c r="C44" s="274" t="s">
        <v>389</v>
      </c>
      <c r="D44" s="275">
        <v>4.8</v>
      </c>
      <c r="E44" s="274">
        <v>0.96899999999999997</v>
      </c>
      <c r="F44" s="274">
        <v>0.43</v>
      </c>
      <c r="G44" s="301">
        <v>26.45</v>
      </c>
      <c r="H44" s="302">
        <v>0.32343107076848038</v>
      </c>
      <c r="I44" s="274">
        <v>39</v>
      </c>
      <c r="J44" s="276">
        <f>H44*I44</f>
        <v>12.613811759970735</v>
      </c>
      <c r="K44" s="301">
        <v>286</v>
      </c>
      <c r="L44" s="279">
        <f>(D44/E44)*F44*G44*J44*K44</f>
        <v>203246.91904832085</v>
      </c>
      <c r="M44" s="297">
        <f>(L44*60)/1000000</f>
        <v>12.19481514289925</v>
      </c>
      <c r="N44" s="277">
        <f>K44/1000</f>
        <v>0.28599999999999998</v>
      </c>
      <c r="O44" s="280">
        <f>M44/N44</f>
        <v>42.639213786361019</v>
      </c>
      <c r="P44" s="352">
        <f>SUM(O44:O51)</f>
        <v>61.811346148547422</v>
      </c>
      <c r="Q44" s="303">
        <f>(O44/$P$44)*100</f>
        <v>68.982826686687602</v>
      </c>
      <c r="R44" s="353">
        <f>$T$22/($P$22/P44)</f>
        <v>5.6930734937899068</v>
      </c>
      <c r="S44" s="280">
        <f>(Q44/100)*$R$44</f>
        <v>3.9272430213668423</v>
      </c>
      <c r="T44" s="356">
        <f>SUM(S44:S51)</f>
        <v>5.6930734937899086</v>
      </c>
      <c r="U44" s="269"/>
      <c r="V44" s="269"/>
      <c r="W44" s="269"/>
    </row>
    <row r="45" spans="2:24" x14ac:dyDescent="0.25">
      <c r="B45" s="351"/>
      <c r="C45" s="274" t="s">
        <v>391</v>
      </c>
      <c r="D45" s="275">
        <v>5.2299999999999999E-2</v>
      </c>
      <c r="E45" s="274">
        <v>0.94299999999999995</v>
      </c>
      <c r="F45" s="274">
        <v>0.43</v>
      </c>
      <c r="G45" s="301">
        <v>26.45</v>
      </c>
      <c r="H45" s="302">
        <v>0.84</v>
      </c>
      <c r="I45" s="274">
        <v>16</v>
      </c>
      <c r="J45" s="276">
        <f t="shared" ref="J45:J48" si="11">H45*I45</f>
        <v>13.44</v>
      </c>
      <c r="K45" s="301">
        <v>286</v>
      </c>
      <c r="L45" s="279">
        <f t="shared" ref="L45:L47" si="12">(D45/E45)*F45*G45*J45*K45</f>
        <v>2424.6520835121951</v>
      </c>
      <c r="M45" s="297">
        <f t="shared" ref="M45:M47" si="13">(L45*60)/1000000</f>
        <v>0.14547912501073171</v>
      </c>
      <c r="N45" s="277">
        <f t="shared" ref="N45:N47" si="14">K45/1000</f>
        <v>0.28599999999999998</v>
      </c>
      <c r="O45" s="280">
        <f t="shared" ref="O45:O47" si="15">M45/N45</f>
        <v>0.50866826926829267</v>
      </c>
      <c r="P45" s="352"/>
      <c r="Q45" s="303">
        <f>(O45/$P$44)*100</f>
        <v>0.82293672758046943</v>
      </c>
      <c r="R45" s="354"/>
      <c r="S45" s="280">
        <f>(Q45/100)*$R$44</f>
        <v>4.6850392708545761E-2</v>
      </c>
      <c r="T45" s="356"/>
      <c r="U45" s="269"/>
      <c r="V45" s="269"/>
      <c r="W45" s="269"/>
    </row>
    <row r="46" spans="2:24" x14ac:dyDescent="0.25">
      <c r="B46" s="351"/>
      <c r="C46" s="274" t="s">
        <v>425</v>
      </c>
      <c r="D46" s="275">
        <v>9.8000000000000004E-2</v>
      </c>
      <c r="E46" s="274">
        <v>0.99539999999999995</v>
      </c>
      <c r="F46" s="274">
        <v>0.78</v>
      </c>
      <c r="G46" s="301">
        <v>26.45</v>
      </c>
      <c r="H46" s="302">
        <v>0.99679041877303731</v>
      </c>
      <c r="I46" s="274">
        <v>61</v>
      </c>
      <c r="J46" s="276">
        <f t="shared" si="11"/>
        <v>60.804215545155273</v>
      </c>
      <c r="K46" s="301">
        <v>286</v>
      </c>
      <c r="L46" s="279">
        <f t="shared" si="12"/>
        <v>35322.256615555852</v>
      </c>
      <c r="M46" s="297">
        <f t="shared" si="13"/>
        <v>2.119335396933351</v>
      </c>
      <c r="N46" s="277">
        <f t="shared" si="14"/>
        <v>0.28599999999999998</v>
      </c>
      <c r="O46" s="280">
        <f t="shared" si="15"/>
        <v>7.4102636256410879</v>
      </c>
      <c r="P46" s="352"/>
      <c r="Q46" s="303">
        <f>(O46/$P$44)*100</f>
        <v>11.988516813454369</v>
      </c>
      <c r="R46" s="354"/>
      <c r="S46" s="280">
        <f>(Q46/100)*$R$44</f>
        <v>0.68251507300531711</v>
      </c>
      <c r="T46" s="356"/>
      <c r="U46" s="269"/>
      <c r="V46" s="269"/>
      <c r="W46" s="269"/>
    </row>
    <row r="47" spans="2:24" x14ac:dyDescent="0.25">
      <c r="B47" s="351"/>
      <c r="C47" s="274" t="s">
        <v>426</v>
      </c>
      <c r="D47" s="275">
        <v>0.2286</v>
      </c>
      <c r="E47" s="274">
        <v>0.97499999999999998</v>
      </c>
      <c r="F47" s="274">
        <v>0.25</v>
      </c>
      <c r="G47" s="301">
        <v>26.45</v>
      </c>
      <c r="H47" s="302">
        <v>0.83199999999999996</v>
      </c>
      <c r="I47" s="274">
        <v>11</v>
      </c>
      <c r="J47" s="276">
        <f t="shared" si="11"/>
        <v>9.1519999999999992</v>
      </c>
      <c r="K47" s="301">
        <v>286</v>
      </c>
      <c r="L47" s="279">
        <f t="shared" si="12"/>
        <v>4058.0681855999997</v>
      </c>
      <c r="M47" s="297">
        <f t="shared" si="13"/>
        <v>0.24348409113599997</v>
      </c>
      <c r="N47" s="277">
        <f t="shared" si="14"/>
        <v>0.28599999999999998</v>
      </c>
      <c r="O47" s="280">
        <f t="shared" si="15"/>
        <v>0.85134297599999997</v>
      </c>
      <c r="P47" s="352"/>
      <c r="Q47" s="303">
        <f>(O47/$P$44)*100</f>
        <v>1.3773247616287463</v>
      </c>
      <c r="R47" s="354"/>
      <c r="S47" s="280">
        <f>(Q47/100)*$R$44</f>
        <v>7.8412110927691167E-2</v>
      </c>
      <c r="T47" s="356"/>
      <c r="U47" s="269"/>
      <c r="V47" s="269"/>
      <c r="W47" s="269"/>
    </row>
    <row r="48" spans="2:24" x14ac:dyDescent="0.25">
      <c r="B48" s="351"/>
      <c r="C48" s="274" t="s">
        <v>395</v>
      </c>
      <c r="D48" s="275">
        <v>4.3999999999999997E-2</v>
      </c>
      <c r="E48" s="274">
        <v>0.96789999999999998</v>
      </c>
      <c r="F48" s="274">
        <v>0.43</v>
      </c>
      <c r="G48" s="301">
        <v>26.45</v>
      </c>
      <c r="H48" s="302">
        <v>0.99501099999999998</v>
      </c>
      <c r="I48" s="274">
        <v>64.5</v>
      </c>
      <c r="J48" s="276">
        <f t="shared" si="11"/>
        <v>64.178209499999994</v>
      </c>
      <c r="K48" s="301">
        <v>286</v>
      </c>
      <c r="L48" s="279">
        <f t="shared" ref="L48" si="16">(D48/E48)*F48*G48*J48*K48</f>
        <v>9490.0816350614496</v>
      </c>
      <c r="M48" s="297">
        <f t="shared" ref="M48" si="17">(L48*60)/1000000</f>
        <v>0.569404898103687</v>
      </c>
      <c r="N48" s="306">
        <f t="shared" ref="N48" si="18">K48/1000</f>
        <v>0.28599999999999998</v>
      </c>
      <c r="O48" s="280">
        <f t="shared" ref="O48" si="19">M48/N48</f>
        <v>1.9909262171457589</v>
      </c>
      <c r="P48" s="352"/>
      <c r="Q48" s="303">
        <f>(O48/$P$44)*100</f>
        <v>3.2209721049612603</v>
      </c>
      <c r="R48" s="354"/>
      <c r="S48" s="280">
        <f>(Q48/100)*$R$44</f>
        <v>0.18337230914991631</v>
      </c>
      <c r="T48" s="356"/>
      <c r="U48" s="269"/>
      <c r="V48" s="269"/>
      <c r="W48" s="269"/>
    </row>
    <row r="49" spans="2:23" ht="63" x14ac:dyDescent="0.25">
      <c r="B49" s="351"/>
      <c r="C49" s="274"/>
      <c r="D49" s="292" t="s">
        <v>427</v>
      </c>
      <c r="E49" s="292" t="s">
        <v>403</v>
      </c>
      <c r="F49" s="292" t="s">
        <v>428</v>
      </c>
      <c r="G49" s="304" t="s">
        <v>404</v>
      </c>
      <c r="H49" s="301"/>
      <c r="I49" s="270"/>
      <c r="J49" s="270"/>
      <c r="K49" s="304" t="s">
        <v>408</v>
      </c>
      <c r="L49" s="357" t="s">
        <v>409</v>
      </c>
      <c r="M49" s="357"/>
      <c r="N49" s="270" t="s">
        <v>408</v>
      </c>
      <c r="O49" s="260" t="s">
        <v>429</v>
      </c>
      <c r="P49" s="352"/>
      <c r="Q49" s="270" t="s">
        <v>411</v>
      </c>
      <c r="R49" s="354"/>
      <c r="S49" s="271" t="s">
        <v>413</v>
      </c>
      <c r="T49" s="356"/>
      <c r="U49" s="269"/>
      <c r="V49" s="269"/>
      <c r="W49" s="269"/>
    </row>
    <row r="50" spans="2:23" x14ac:dyDescent="0.25">
      <c r="B50" s="351"/>
      <c r="C50" s="270"/>
      <c r="D50" s="292" t="s">
        <v>430</v>
      </c>
      <c r="E50" s="292" t="s">
        <v>417</v>
      </c>
      <c r="F50" s="292" t="s">
        <v>417</v>
      </c>
      <c r="G50" s="304" t="s">
        <v>418</v>
      </c>
      <c r="H50" s="301"/>
      <c r="I50" s="270"/>
      <c r="J50" s="270"/>
      <c r="K50" s="304" t="s">
        <v>420</v>
      </c>
      <c r="L50" s="292" t="s">
        <v>421</v>
      </c>
      <c r="M50" s="292" t="s">
        <v>338</v>
      </c>
      <c r="N50" s="270" t="s">
        <v>422</v>
      </c>
      <c r="O50" s="273" t="s">
        <v>423</v>
      </c>
      <c r="P50" s="352"/>
      <c r="Q50" s="305"/>
      <c r="R50" s="354"/>
      <c r="S50" s="271"/>
      <c r="T50" s="356"/>
      <c r="U50" s="269"/>
      <c r="V50" s="269"/>
      <c r="W50" s="269"/>
    </row>
    <row r="51" spans="2:23" x14ac:dyDescent="0.25">
      <c r="B51" s="351"/>
      <c r="C51" s="274" t="s">
        <v>396</v>
      </c>
      <c r="D51" s="275">
        <v>9.16</v>
      </c>
      <c r="E51" s="274">
        <v>0.96599999999999997</v>
      </c>
      <c r="F51" s="274">
        <v>1</v>
      </c>
      <c r="G51" s="301">
        <v>26.45</v>
      </c>
      <c r="H51" s="301">
        <v>0.55891891891891887</v>
      </c>
      <c r="I51" s="285"/>
      <c r="J51" s="274"/>
      <c r="K51" s="301">
        <v>286</v>
      </c>
      <c r="L51" s="279">
        <f>(D51/E51)*F51*G51*K51*H51</f>
        <v>40092.105740025734</v>
      </c>
      <c r="M51" s="297">
        <f t="shared" ref="M51" si="20">(L51*60)/1000000</f>
        <v>2.4055263444015438</v>
      </c>
      <c r="N51" s="277">
        <f>K51/1000</f>
        <v>0.28599999999999998</v>
      </c>
      <c r="O51" s="280">
        <f t="shared" ref="O51" si="21">M51/N51</f>
        <v>8.4109312741312721</v>
      </c>
      <c r="P51" s="352"/>
      <c r="Q51" s="303">
        <f>(O51/$P$44)*100</f>
        <v>13.607422905687569</v>
      </c>
      <c r="R51" s="355"/>
      <c r="S51" s="280">
        <f>(Q51/100)*$R$44</f>
        <v>0.77468058663159534</v>
      </c>
      <c r="T51" s="356"/>
      <c r="U51" s="269"/>
      <c r="V51" s="269"/>
      <c r="W51" s="269"/>
    </row>
    <row r="52" spans="2:23" x14ac:dyDescent="0.25">
      <c r="Q52" s="299"/>
      <c r="U52" s="269"/>
      <c r="V52" s="269"/>
      <c r="W52" s="269"/>
    </row>
    <row r="53" spans="2:23" ht="63" x14ac:dyDescent="0.25">
      <c r="B53" s="358" t="s">
        <v>400</v>
      </c>
      <c r="C53" s="358" t="s">
        <v>401</v>
      </c>
      <c r="D53" s="270" t="s">
        <v>402</v>
      </c>
      <c r="E53" s="270" t="s">
        <v>403</v>
      </c>
      <c r="F53" s="270" t="s">
        <v>386</v>
      </c>
      <c r="G53" s="301" t="s">
        <v>404</v>
      </c>
      <c r="H53" s="301" t="s">
        <v>405</v>
      </c>
      <c r="I53" s="270" t="s">
        <v>406</v>
      </c>
      <c r="J53" s="270" t="s">
        <v>407</v>
      </c>
      <c r="K53" s="301" t="s">
        <v>408</v>
      </c>
      <c r="L53" s="358" t="s">
        <v>409</v>
      </c>
      <c r="M53" s="358"/>
      <c r="N53" s="270" t="s">
        <v>408</v>
      </c>
      <c r="O53" s="358" t="s">
        <v>410</v>
      </c>
      <c r="P53" s="358"/>
      <c r="Q53" s="270" t="s">
        <v>411</v>
      </c>
      <c r="R53" s="270" t="s">
        <v>412</v>
      </c>
      <c r="S53" s="271" t="s">
        <v>413</v>
      </c>
      <c r="T53" s="270" t="s">
        <v>410</v>
      </c>
      <c r="U53" s="269"/>
      <c r="V53" s="269"/>
      <c r="W53" s="269"/>
    </row>
    <row r="54" spans="2:23" x14ac:dyDescent="0.25">
      <c r="B54" s="358"/>
      <c r="C54" s="358"/>
      <c r="D54" s="270" t="s">
        <v>416</v>
      </c>
      <c r="E54" s="270" t="s">
        <v>417</v>
      </c>
      <c r="F54" s="270" t="s">
        <v>417</v>
      </c>
      <c r="G54" s="301" t="s">
        <v>418</v>
      </c>
      <c r="H54" s="301" t="s">
        <v>417</v>
      </c>
      <c r="I54" s="270" t="s">
        <v>419</v>
      </c>
      <c r="J54" s="270" t="s">
        <v>419</v>
      </c>
      <c r="K54" s="301" t="s">
        <v>420</v>
      </c>
      <c r="L54" s="270" t="s">
        <v>421</v>
      </c>
      <c r="M54" s="270" t="s">
        <v>338</v>
      </c>
      <c r="N54" s="270" t="s">
        <v>422</v>
      </c>
      <c r="O54" s="273" t="s">
        <v>423</v>
      </c>
      <c r="P54" s="270" t="s">
        <v>423</v>
      </c>
      <c r="Q54" s="270"/>
      <c r="R54" s="270" t="s">
        <v>423</v>
      </c>
      <c r="S54" s="270" t="s">
        <v>423</v>
      </c>
      <c r="T54" s="270" t="s">
        <v>423</v>
      </c>
      <c r="U54" s="269"/>
      <c r="V54" s="269"/>
      <c r="W54" s="269"/>
    </row>
    <row r="55" spans="2:23" x14ac:dyDescent="0.25">
      <c r="B55" s="351">
        <v>1.5</v>
      </c>
      <c r="C55" s="274" t="s">
        <v>389</v>
      </c>
      <c r="D55" s="275">
        <v>4.8</v>
      </c>
      <c r="E55" s="274">
        <v>0.96899999999999997</v>
      </c>
      <c r="F55" s="274">
        <v>0.43</v>
      </c>
      <c r="G55" s="301">
        <v>26.91</v>
      </c>
      <c r="H55" s="302">
        <v>0.45854571400145117</v>
      </c>
      <c r="I55" s="274">
        <v>39</v>
      </c>
      <c r="J55" s="276">
        <f>H55*I55</f>
        <v>17.883282846056595</v>
      </c>
      <c r="K55" s="301">
        <v>332.21</v>
      </c>
      <c r="L55" s="279">
        <f>(D55/E55)*F55*G55*J55*K55</f>
        <v>340533.27910305921</v>
      </c>
      <c r="M55" s="297">
        <f>(L55*60)/1000000</f>
        <v>20.43199674618355</v>
      </c>
      <c r="N55" s="277">
        <f>K55/1000</f>
        <v>0.33221000000000001</v>
      </c>
      <c r="O55" s="280">
        <f>M55/N55</f>
        <v>61.50325621198504</v>
      </c>
      <c r="P55" s="352">
        <f>SUM(O55:O62)</f>
        <v>82.701587725665476</v>
      </c>
      <c r="Q55" s="303">
        <f>(O55/$P$44)*100</f>
        <v>99.501564104716351</v>
      </c>
      <c r="R55" s="353">
        <f>$T$22/($P$22/P55)</f>
        <v>7.6171487325938347</v>
      </c>
      <c r="S55" s="280">
        <f>(Q55/100)*$R$44</f>
        <v>5.6646971719519792</v>
      </c>
      <c r="T55" s="356">
        <f>SUM(S55:S62)</f>
        <v>7.6171487325938338</v>
      </c>
      <c r="U55" s="269"/>
      <c r="V55" s="269"/>
      <c r="W55" s="269"/>
    </row>
    <row r="56" spans="2:23" x14ac:dyDescent="0.25">
      <c r="B56" s="351"/>
      <c r="C56" s="274" t="s">
        <v>391</v>
      </c>
      <c r="D56" s="275">
        <v>5.2299999999999999E-2</v>
      </c>
      <c r="E56" s="274">
        <v>0.94299999999999995</v>
      </c>
      <c r="F56" s="274">
        <v>0.43</v>
      </c>
      <c r="G56" s="301">
        <v>26.91</v>
      </c>
      <c r="H56" s="302">
        <v>0.86956395348837212</v>
      </c>
      <c r="I56" s="274">
        <v>16</v>
      </c>
      <c r="J56" s="276">
        <f t="shared" ref="J56:J59" si="22">H56*I56</f>
        <v>13.913023255813954</v>
      </c>
      <c r="K56" s="301">
        <v>332.21</v>
      </c>
      <c r="L56" s="279">
        <f t="shared" ref="L56:L58" si="23">(D56/E56)*F56*G56*J56*K56</f>
        <v>2966.2405097386827</v>
      </c>
      <c r="M56" s="297">
        <f t="shared" ref="M56:M58" si="24">(L56*60)/1000000</f>
        <v>0.17797443058432097</v>
      </c>
      <c r="N56" s="277">
        <f t="shared" ref="N56:N58" si="25">K56/1000</f>
        <v>0.33221000000000001</v>
      </c>
      <c r="O56" s="280">
        <f t="shared" ref="O56:O58" si="26">M56/N56</f>
        <v>0.53572869746341456</v>
      </c>
      <c r="P56" s="352"/>
      <c r="Q56" s="303">
        <f>(O56/$P$44)*100</f>
        <v>0.86671579061865212</v>
      </c>
      <c r="R56" s="354"/>
      <c r="S56" s="280">
        <f>(Q56/100)*$R$44</f>
        <v>4.9342766942202111E-2</v>
      </c>
      <c r="T56" s="356"/>
      <c r="U56" s="269"/>
      <c r="V56" s="269"/>
      <c r="W56" s="269"/>
    </row>
    <row r="57" spans="2:23" x14ac:dyDescent="0.25">
      <c r="B57" s="351"/>
      <c r="C57" s="274" t="s">
        <v>425</v>
      </c>
      <c r="D57" s="275">
        <v>9.8000000000000004E-2</v>
      </c>
      <c r="E57" s="274">
        <v>0.99539999999999995</v>
      </c>
      <c r="F57" s="274">
        <v>0.78</v>
      </c>
      <c r="G57" s="301">
        <v>26.91</v>
      </c>
      <c r="H57" s="302">
        <v>0.9997192113422102</v>
      </c>
      <c r="I57" s="274">
        <v>61</v>
      </c>
      <c r="J57" s="276">
        <f t="shared" si="22"/>
        <v>60.982871891874822</v>
      </c>
      <c r="K57" s="301">
        <v>332.21</v>
      </c>
      <c r="L57" s="279">
        <f t="shared" si="23"/>
        <v>41865.599436111923</v>
      </c>
      <c r="M57" s="297">
        <f t="shared" si="24"/>
        <v>2.5119359661667153</v>
      </c>
      <c r="N57" s="277">
        <f t="shared" si="25"/>
        <v>0.33221000000000001</v>
      </c>
      <c r="O57" s="280">
        <f t="shared" si="26"/>
        <v>7.5612894439261771</v>
      </c>
      <c r="P57" s="352"/>
      <c r="Q57" s="303">
        <f>(O57/$P$44)*100</f>
        <v>12.232850301875958</v>
      </c>
      <c r="R57" s="354"/>
      <c r="S57" s="280">
        <f>(Q57/100)*$R$44</f>
        <v>0.69642515807109873</v>
      </c>
      <c r="T57" s="356"/>
      <c r="U57" s="269"/>
      <c r="V57" s="269"/>
      <c r="W57" s="269"/>
    </row>
    <row r="58" spans="2:23" x14ac:dyDescent="0.25">
      <c r="B58" s="351"/>
      <c r="C58" s="274" t="s">
        <v>426</v>
      </c>
      <c r="D58" s="275">
        <v>0.2286</v>
      </c>
      <c r="E58" s="274">
        <v>0.97499999999999998</v>
      </c>
      <c r="F58" s="274">
        <v>0.25</v>
      </c>
      <c r="G58" s="301">
        <v>26.91</v>
      </c>
      <c r="H58" s="302">
        <v>0.92452859071263938</v>
      </c>
      <c r="I58" s="274">
        <v>11</v>
      </c>
      <c r="J58" s="276">
        <f t="shared" si="22"/>
        <v>10.169814497839033</v>
      </c>
      <c r="K58" s="301">
        <v>332.21</v>
      </c>
      <c r="L58" s="279">
        <f t="shared" si="23"/>
        <v>5329.0653899991157</v>
      </c>
      <c r="M58" s="297">
        <f t="shared" si="24"/>
        <v>0.31974392339994695</v>
      </c>
      <c r="N58" s="277">
        <f t="shared" si="25"/>
        <v>0.33221000000000001</v>
      </c>
      <c r="O58" s="280">
        <f t="shared" si="26"/>
        <v>0.96247531200128511</v>
      </c>
      <c r="P58" s="352"/>
      <c r="Q58" s="303">
        <f>(O58/$P$44)*100</f>
        <v>1.5571175390489429</v>
      </c>
      <c r="R58" s="354"/>
      <c r="S58" s="280">
        <f>(Q58/100)*$R$44</f>
        <v>8.8647845882749071E-2</v>
      </c>
      <c r="T58" s="356"/>
      <c r="U58" s="269"/>
      <c r="V58" s="269"/>
      <c r="W58" s="269"/>
    </row>
    <row r="59" spans="2:23" x14ac:dyDescent="0.25">
      <c r="B59" s="351"/>
      <c r="C59" s="274" t="s">
        <v>395</v>
      </c>
      <c r="D59" s="275">
        <v>4.3999999999999997E-2</v>
      </c>
      <c r="E59" s="274">
        <v>0.96789999999999998</v>
      </c>
      <c r="F59" s="274">
        <v>0.43</v>
      </c>
      <c r="G59" s="301">
        <v>26.91</v>
      </c>
      <c r="H59" s="302">
        <v>0.99918570060980205</v>
      </c>
      <c r="I59" s="274">
        <v>64.5</v>
      </c>
      <c r="J59" s="276">
        <f t="shared" si="22"/>
        <v>64.447477689332231</v>
      </c>
      <c r="K59" s="301">
        <v>332.21</v>
      </c>
      <c r="L59" s="279">
        <f t="shared" ref="L59" si="27">(D59/E59)*F59*G59*J59*K59</f>
        <v>11262.193011575113</v>
      </c>
      <c r="M59" s="297">
        <f t="shared" ref="M59" si="28">(L59*60)/1000000</f>
        <v>0.67573158069450678</v>
      </c>
      <c r="N59" s="306">
        <f t="shared" ref="N59" si="29">K59/1000</f>
        <v>0.33221000000000001</v>
      </c>
      <c r="O59" s="280">
        <f t="shared" ref="O59" si="30">M59/N59</f>
        <v>2.0340494888609819</v>
      </c>
      <c r="P59" s="352"/>
      <c r="Q59" s="303">
        <f>(O59/$P$44)*100</f>
        <v>3.2907380531281025</v>
      </c>
      <c r="R59" s="354"/>
      <c r="S59" s="280">
        <f>(Q59/100)*$R$44</f>
        <v>0.18734413585269402</v>
      </c>
      <c r="T59" s="356"/>
      <c r="U59" s="269"/>
      <c r="V59" s="269"/>
      <c r="W59" s="269"/>
    </row>
    <row r="60" spans="2:23" ht="63" x14ac:dyDescent="0.25">
      <c r="B60" s="351"/>
      <c r="C60" s="274"/>
      <c r="D60" s="292" t="s">
        <v>427</v>
      </c>
      <c r="E60" s="292" t="s">
        <v>403</v>
      </c>
      <c r="F60" s="292" t="s">
        <v>428</v>
      </c>
      <c r="G60" s="304" t="s">
        <v>404</v>
      </c>
      <c r="H60" s="301"/>
      <c r="I60" s="270"/>
      <c r="J60" s="270"/>
      <c r="K60" s="304" t="s">
        <v>408</v>
      </c>
      <c r="L60" s="357" t="s">
        <v>409</v>
      </c>
      <c r="M60" s="357"/>
      <c r="N60" s="270" t="s">
        <v>408</v>
      </c>
      <c r="O60" s="260" t="s">
        <v>429</v>
      </c>
      <c r="P60" s="352"/>
      <c r="Q60" s="270" t="s">
        <v>411</v>
      </c>
      <c r="R60" s="354"/>
      <c r="S60" s="271" t="s">
        <v>413</v>
      </c>
      <c r="T60" s="356"/>
      <c r="U60" s="269"/>
      <c r="V60" s="269"/>
      <c r="W60" s="269"/>
    </row>
    <row r="61" spans="2:23" x14ac:dyDescent="0.25">
      <c r="B61" s="351"/>
      <c r="C61" s="270"/>
      <c r="D61" s="292" t="s">
        <v>430</v>
      </c>
      <c r="E61" s="292" t="s">
        <v>417</v>
      </c>
      <c r="F61" s="292" t="s">
        <v>417</v>
      </c>
      <c r="G61" s="304" t="s">
        <v>418</v>
      </c>
      <c r="H61" s="301"/>
      <c r="I61" s="270"/>
      <c r="J61" s="270"/>
      <c r="K61" s="304" t="s">
        <v>420</v>
      </c>
      <c r="L61" s="292" t="s">
        <v>421</v>
      </c>
      <c r="M61" s="292" t="s">
        <v>338</v>
      </c>
      <c r="N61" s="270" t="s">
        <v>422</v>
      </c>
      <c r="O61" s="273" t="s">
        <v>423</v>
      </c>
      <c r="P61" s="352"/>
      <c r="Q61" s="305"/>
      <c r="R61" s="354"/>
      <c r="S61" s="271"/>
      <c r="T61" s="356"/>
      <c r="U61" s="269"/>
      <c r="V61" s="269"/>
      <c r="W61" s="269"/>
    </row>
    <row r="62" spans="2:23" x14ac:dyDescent="0.25">
      <c r="B62" s="351"/>
      <c r="C62" s="274" t="s">
        <v>396</v>
      </c>
      <c r="D62" s="275">
        <v>9.16</v>
      </c>
      <c r="E62" s="274">
        <v>0.96599999999999997</v>
      </c>
      <c r="F62" s="274">
        <v>1</v>
      </c>
      <c r="G62" s="301">
        <v>26.91</v>
      </c>
      <c r="H62" s="301">
        <v>0.65999999999999992</v>
      </c>
      <c r="I62" s="285"/>
      <c r="J62" s="274"/>
      <c r="K62" s="301">
        <v>332.21</v>
      </c>
      <c r="L62" s="279">
        <f>(D62/E62)*F62*G62*K62*H62</f>
        <v>55948.530188571422</v>
      </c>
      <c r="M62" s="297">
        <f t="shared" ref="M62" si="31">(L62*60)/1000000</f>
        <v>3.3569118113142853</v>
      </c>
      <c r="N62" s="277">
        <f>K62/1000</f>
        <v>0.33221000000000001</v>
      </c>
      <c r="O62" s="280">
        <f t="shared" ref="O62" si="32">M62/N62</f>
        <v>10.104788571428569</v>
      </c>
      <c r="P62" s="352"/>
      <c r="Q62" s="303">
        <f>(O62/$P$44)*100</f>
        <v>16.347789202235379</v>
      </c>
      <c r="R62" s="355"/>
      <c r="S62" s="280">
        <f>(Q62/100)*$R$44</f>
        <v>0.93069165389311093</v>
      </c>
      <c r="T62" s="356"/>
      <c r="U62" s="269"/>
      <c r="V62" s="269"/>
      <c r="W62" s="269"/>
    </row>
    <row r="63" spans="2:23" x14ac:dyDescent="0.25">
      <c r="Q63" s="299"/>
      <c r="U63" s="269"/>
      <c r="V63" s="269"/>
      <c r="W63" s="269"/>
    </row>
    <row r="64" spans="2:23" x14ac:dyDescent="0.25">
      <c r="Q64" s="299"/>
      <c r="U64" s="269"/>
      <c r="V64" s="269"/>
      <c r="W64" s="269"/>
    </row>
    <row r="65" spans="2:23" ht="63" x14ac:dyDescent="0.25">
      <c r="B65" s="358" t="s">
        <v>400</v>
      </c>
      <c r="C65" s="358" t="s">
        <v>401</v>
      </c>
      <c r="D65" s="270" t="s">
        <v>402</v>
      </c>
      <c r="E65" s="270" t="s">
        <v>403</v>
      </c>
      <c r="F65" s="270" t="s">
        <v>386</v>
      </c>
      <c r="G65" s="301" t="s">
        <v>404</v>
      </c>
      <c r="H65" s="301" t="s">
        <v>405</v>
      </c>
      <c r="I65" s="270" t="s">
        <v>406</v>
      </c>
      <c r="J65" s="270" t="s">
        <v>407</v>
      </c>
      <c r="K65" s="301" t="s">
        <v>408</v>
      </c>
      <c r="L65" s="358" t="s">
        <v>409</v>
      </c>
      <c r="M65" s="358"/>
      <c r="N65" s="270" t="s">
        <v>408</v>
      </c>
      <c r="O65" s="358" t="s">
        <v>410</v>
      </c>
      <c r="P65" s="358"/>
      <c r="Q65" s="270" t="s">
        <v>411</v>
      </c>
      <c r="R65" s="270" t="s">
        <v>412</v>
      </c>
      <c r="S65" s="271" t="s">
        <v>413</v>
      </c>
      <c r="T65" s="270" t="s">
        <v>410</v>
      </c>
      <c r="U65" s="269"/>
      <c r="V65" s="269"/>
      <c r="W65" s="269"/>
    </row>
    <row r="66" spans="2:23" x14ac:dyDescent="0.25">
      <c r="B66" s="358"/>
      <c r="C66" s="358"/>
      <c r="D66" s="270" t="s">
        <v>416</v>
      </c>
      <c r="E66" s="270" t="s">
        <v>417</v>
      </c>
      <c r="F66" s="270" t="s">
        <v>417</v>
      </c>
      <c r="G66" s="301" t="s">
        <v>418</v>
      </c>
      <c r="H66" s="301" t="s">
        <v>417</v>
      </c>
      <c r="I66" s="270" t="s">
        <v>419</v>
      </c>
      <c r="J66" s="270" t="s">
        <v>419</v>
      </c>
      <c r="K66" s="301" t="s">
        <v>420</v>
      </c>
      <c r="L66" s="270" t="s">
        <v>421</v>
      </c>
      <c r="M66" s="270" t="s">
        <v>338</v>
      </c>
      <c r="N66" s="270" t="s">
        <v>422</v>
      </c>
      <c r="O66" s="273" t="s">
        <v>423</v>
      </c>
      <c r="P66" s="270" t="s">
        <v>423</v>
      </c>
      <c r="Q66" s="270"/>
      <c r="R66" s="270" t="s">
        <v>423</v>
      </c>
      <c r="S66" s="270" t="s">
        <v>423</v>
      </c>
      <c r="T66" s="270" t="s">
        <v>423</v>
      </c>
      <c r="U66" s="269"/>
      <c r="V66" s="269"/>
      <c r="W66" s="269"/>
    </row>
    <row r="67" spans="2:23" x14ac:dyDescent="0.25">
      <c r="B67" s="351">
        <v>2</v>
      </c>
      <c r="C67" s="274" t="s">
        <v>389</v>
      </c>
      <c r="D67" s="275">
        <v>4.8</v>
      </c>
      <c r="E67" s="274">
        <v>0.96899999999999997</v>
      </c>
      <c r="F67" s="274">
        <v>0.43</v>
      </c>
      <c r="G67" s="301">
        <v>27.36</v>
      </c>
      <c r="H67" s="302">
        <v>0.58357999999999999</v>
      </c>
      <c r="I67" s="274">
        <v>39</v>
      </c>
      <c r="J67" s="276">
        <f>H67*I67</f>
        <v>22.759619999999998</v>
      </c>
      <c r="K67" s="301">
        <v>368.7</v>
      </c>
      <c r="L67" s="279">
        <f>(D67/E67)*F67*G67*J67*K67</f>
        <v>489035.23734256939</v>
      </c>
      <c r="M67" s="297">
        <f>(L67*60)/1000000</f>
        <v>29.342114240554164</v>
      </c>
      <c r="N67" s="277">
        <f>K67/1000</f>
        <v>0.36869999999999997</v>
      </c>
      <c r="O67" s="280">
        <f>M67/N67</f>
        <v>79.582626093176472</v>
      </c>
      <c r="P67" s="352">
        <f>SUM(O67:O74)</f>
        <v>102.14266590638158</v>
      </c>
      <c r="Q67" s="303">
        <f>(O67/$P$44)*100</f>
        <v>128.75083791561573</v>
      </c>
      <c r="R67" s="353">
        <f>$T$22/($P$22/P67)</f>
        <v>9.4077501962044625</v>
      </c>
      <c r="S67" s="280">
        <f>(Q67/100)*$R$44</f>
        <v>7.3298798264063239</v>
      </c>
      <c r="T67" s="356">
        <f>SUM(S67:S74)</f>
        <v>9.4077501962044643</v>
      </c>
      <c r="U67" s="269"/>
      <c r="V67" s="269"/>
      <c r="W67" s="269"/>
    </row>
    <row r="68" spans="2:23" x14ac:dyDescent="0.25">
      <c r="B68" s="351"/>
      <c r="C68" s="274" t="s">
        <v>391</v>
      </c>
      <c r="D68" s="275">
        <v>5.2299999999999999E-2</v>
      </c>
      <c r="E68" s="274">
        <v>0.94299999999999995</v>
      </c>
      <c r="F68" s="274">
        <v>0.43</v>
      </c>
      <c r="G68" s="301">
        <v>27.36</v>
      </c>
      <c r="H68" s="302">
        <v>0.89249999999999996</v>
      </c>
      <c r="I68" s="274">
        <v>16</v>
      </c>
      <c r="J68" s="276">
        <f t="shared" ref="J68:J71" si="33">H68*I68</f>
        <v>14.28</v>
      </c>
      <c r="K68" s="301">
        <v>368.7</v>
      </c>
      <c r="L68" s="279">
        <f t="shared" ref="L68:L70" si="34">(D68/E68)*F68*G68*J68*K68</f>
        <v>3435.3887554246448</v>
      </c>
      <c r="M68" s="297">
        <f t="shared" ref="M68:M70" si="35">(L68*60)/1000000</f>
        <v>0.2061233253254787</v>
      </c>
      <c r="N68" s="277">
        <f t="shared" ref="N68:N70" si="36">K68/1000</f>
        <v>0.36869999999999997</v>
      </c>
      <c r="O68" s="280">
        <f t="shared" ref="O68:O70" si="37">M68/N68</f>
        <v>0.55905431333191946</v>
      </c>
      <c r="P68" s="352"/>
      <c r="Q68" s="303">
        <f>(O68/$P$44)*100</f>
        <v>0.90445257734458417</v>
      </c>
      <c r="R68" s="354"/>
      <c r="S68" s="280">
        <f>(Q68/100)*$R$44</f>
        <v>5.1491149944704176E-2</v>
      </c>
      <c r="T68" s="356"/>
      <c r="U68" s="269"/>
      <c r="V68" s="269"/>
      <c r="W68" s="269"/>
    </row>
    <row r="69" spans="2:23" x14ac:dyDescent="0.25">
      <c r="B69" s="351"/>
      <c r="C69" s="274" t="s">
        <v>425</v>
      </c>
      <c r="D69" s="275">
        <v>9.8000000000000004E-2</v>
      </c>
      <c r="E69" s="274">
        <v>0.99539999999999995</v>
      </c>
      <c r="F69" s="274">
        <v>0.78</v>
      </c>
      <c r="G69" s="301">
        <v>27.36</v>
      </c>
      <c r="H69" s="302">
        <v>0.99</v>
      </c>
      <c r="I69" s="274">
        <v>61</v>
      </c>
      <c r="J69" s="276">
        <f t="shared" si="33"/>
        <v>60.39</v>
      </c>
      <c r="K69" s="301">
        <v>368.7</v>
      </c>
      <c r="L69" s="279">
        <f t="shared" si="34"/>
        <v>46781.840320405063</v>
      </c>
      <c r="M69" s="297">
        <f t="shared" si="35"/>
        <v>2.8069104192243035</v>
      </c>
      <c r="N69" s="277">
        <f t="shared" si="36"/>
        <v>0.36869999999999997</v>
      </c>
      <c r="O69" s="280">
        <f t="shared" si="37"/>
        <v>7.6129927291139241</v>
      </c>
      <c r="P69" s="352"/>
      <c r="Q69" s="303">
        <f>(O69/$P$44)*100</f>
        <v>12.316497218517268</v>
      </c>
      <c r="R69" s="354"/>
      <c r="S69" s="280">
        <f>(Q69/100)*$R$44</f>
        <v>0.70118723851077769</v>
      </c>
      <c r="T69" s="356"/>
      <c r="U69" s="269"/>
      <c r="V69" s="269"/>
      <c r="W69" s="269"/>
    </row>
    <row r="70" spans="2:23" x14ac:dyDescent="0.25">
      <c r="B70" s="351"/>
      <c r="C70" s="274" t="s">
        <v>426</v>
      </c>
      <c r="D70" s="275">
        <v>0.2286</v>
      </c>
      <c r="E70" s="274">
        <v>0.97499999999999998</v>
      </c>
      <c r="F70" s="274">
        <v>0.25</v>
      </c>
      <c r="G70" s="301">
        <v>27.36</v>
      </c>
      <c r="H70" s="302">
        <v>0.96699999999999997</v>
      </c>
      <c r="I70" s="274">
        <v>11</v>
      </c>
      <c r="J70" s="276">
        <f t="shared" si="33"/>
        <v>10.637</v>
      </c>
      <c r="K70" s="301">
        <v>368.7</v>
      </c>
      <c r="L70" s="279">
        <f t="shared" si="34"/>
        <v>6289.5562990006147</v>
      </c>
      <c r="M70" s="297">
        <f t="shared" si="35"/>
        <v>0.37737337794003689</v>
      </c>
      <c r="N70" s="277">
        <f t="shared" si="36"/>
        <v>0.36869999999999997</v>
      </c>
      <c r="O70" s="280">
        <f t="shared" si="37"/>
        <v>1.0235242146461538</v>
      </c>
      <c r="P70" s="352"/>
      <c r="Q70" s="303">
        <f>(O70/$P$44)*100</f>
        <v>1.6558840381608593</v>
      </c>
      <c r="R70" s="354"/>
      <c r="S70" s="280">
        <f>(Q70/100)*$R$44</f>
        <v>9.4270695264433824E-2</v>
      </c>
      <c r="T70" s="356"/>
      <c r="U70" s="269"/>
      <c r="V70" s="269"/>
      <c r="W70" s="269"/>
    </row>
    <row r="71" spans="2:23" x14ac:dyDescent="0.25">
      <c r="B71" s="351"/>
      <c r="C71" s="274" t="s">
        <v>395</v>
      </c>
      <c r="D71" s="275">
        <v>4.3999999999999997E-2</v>
      </c>
      <c r="E71" s="274">
        <v>0.96789999999999998</v>
      </c>
      <c r="F71" s="274">
        <v>0.43</v>
      </c>
      <c r="G71" s="301">
        <v>27.36</v>
      </c>
      <c r="H71" s="302">
        <v>0.99980000000000002</v>
      </c>
      <c r="I71" s="274">
        <v>64.5</v>
      </c>
      <c r="J71" s="276">
        <f t="shared" si="33"/>
        <v>64.487099999999998</v>
      </c>
      <c r="K71" s="301">
        <v>368.7</v>
      </c>
      <c r="L71" s="279">
        <f t="shared" ref="L71" si="38">(D71/E71)*F71*G71*J71*K71</f>
        <v>12716.064435079059</v>
      </c>
      <c r="M71" s="297">
        <f t="shared" ref="M71" si="39">(L71*60)/1000000</f>
        <v>0.76296386610474354</v>
      </c>
      <c r="N71" s="306">
        <f t="shared" ref="N71" si="40">K71/1000</f>
        <v>0.36869999999999997</v>
      </c>
      <c r="O71" s="280">
        <f t="shared" ref="O71" si="41">M71/N71</f>
        <v>2.0693351399640454</v>
      </c>
      <c r="P71" s="352"/>
      <c r="Q71" s="303">
        <f>(O71/$P$44)*100</f>
        <v>3.3478240952574287</v>
      </c>
      <c r="R71" s="354"/>
      <c r="S71" s="280">
        <f>(Q71/100)*$R$44</f>
        <v>0.19059408618581244</v>
      </c>
      <c r="T71" s="356"/>
      <c r="U71" s="269"/>
      <c r="V71" s="269"/>
      <c r="W71" s="269"/>
    </row>
    <row r="72" spans="2:23" ht="63" x14ac:dyDescent="0.25">
      <c r="B72" s="351"/>
      <c r="C72" s="274"/>
      <c r="D72" s="292" t="s">
        <v>427</v>
      </c>
      <c r="E72" s="292" t="s">
        <v>403</v>
      </c>
      <c r="F72" s="292" t="s">
        <v>428</v>
      </c>
      <c r="G72" s="304" t="s">
        <v>404</v>
      </c>
      <c r="H72" s="301"/>
      <c r="I72" s="270"/>
      <c r="J72" s="270"/>
      <c r="K72" s="304" t="s">
        <v>408</v>
      </c>
      <c r="L72" s="357" t="s">
        <v>409</v>
      </c>
      <c r="M72" s="357"/>
      <c r="N72" s="270" t="s">
        <v>408</v>
      </c>
      <c r="O72" s="260" t="s">
        <v>429</v>
      </c>
      <c r="P72" s="352"/>
      <c r="Q72" s="270" t="s">
        <v>411</v>
      </c>
      <c r="R72" s="354"/>
      <c r="S72" s="271" t="s">
        <v>413</v>
      </c>
      <c r="T72" s="356"/>
      <c r="U72" s="269"/>
      <c r="V72" s="269"/>
      <c r="W72" s="269"/>
    </row>
    <row r="73" spans="2:23" x14ac:dyDescent="0.25">
      <c r="B73" s="351"/>
      <c r="C73" s="270"/>
      <c r="D73" s="292" t="s">
        <v>430</v>
      </c>
      <c r="E73" s="292" t="s">
        <v>417</v>
      </c>
      <c r="F73" s="292" t="s">
        <v>417</v>
      </c>
      <c r="G73" s="304" t="s">
        <v>418</v>
      </c>
      <c r="H73" s="301"/>
      <c r="I73" s="270"/>
      <c r="J73" s="270"/>
      <c r="K73" s="304" t="s">
        <v>420</v>
      </c>
      <c r="L73" s="292" t="s">
        <v>421</v>
      </c>
      <c r="M73" s="292" t="s">
        <v>338</v>
      </c>
      <c r="N73" s="270" t="s">
        <v>422</v>
      </c>
      <c r="O73" s="273" t="s">
        <v>423</v>
      </c>
      <c r="P73" s="352"/>
      <c r="Q73" s="305"/>
      <c r="R73" s="354"/>
      <c r="S73" s="271"/>
      <c r="T73" s="356"/>
      <c r="U73" s="269"/>
      <c r="V73" s="269"/>
      <c r="W73" s="269"/>
    </row>
    <row r="74" spans="2:23" x14ac:dyDescent="0.25">
      <c r="B74" s="351"/>
      <c r="C74" s="274" t="s">
        <v>396</v>
      </c>
      <c r="D74" s="275">
        <v>9.16</v>
      </c>
      <c r="E74" s="274">
        <v>0.96599999999999997</v>
      </c>
      <c r="F74" s="274">
        <v>1</v>
      </c>
      <c r="G74" s="301">
        <v>27.36</v>
      </c>
      <c r="H74" s="301">
        <v>0.72561403508771927</v>
      </c>
      <c r="I74" s="285"/>
      <c r="J74" s="274"/>
      <c r="K74" s="301">
        <v>368.7</v>
      </c>
      <c r="L74" s="279">
        <f>(D74/E74)*F74*G74*K74*H74</f>
        <v>69408.594842236023</v>
      </c>
      <c r="M74" s="297">
        <f t="shared" ref="M74" si="42">(L74*60)/1000000</f>
        <v>4.1645156905341612</v>
      </c>
      <c r="N74" s="277">
        <f>K74/1000</f>
        <v>0.36869999999999997</v>
      </c>
      <c r="O74" s="280">
        <f t="shared" ref="O74" si="43">M74/N74</f>
        <v>11.295133416149069</v>
      </c>
      <c r="P74" s="352"/>
      <c r="Q74" s="303">
        <f>(O74/$P$44)*100</f>
        <v>18.273559985256053</v>
      </c>
      <c r="R74" s="355"/>
      <c r="S74" s="280">
        <f>(Q74/100)*$R$44</f>
        <v>1.0403271998924111</v>
      </c>
      <c r="T74" s="356"/>
      <c r="U74" s="269"/>
      <c r="V74" s="269"/>
      <c r="W74" s="269"/>
    </row>
    <row r="75" spans="2:23" x14ac:dyDescent="0.25">
      <c r="Q75" s="299"/>
      <c r="U75" s="269"/>
      <c r="V75" s="269"/>
      <c r="W75" s="269"/>
    </row>
    <row r="76" spans="2:23" x14ac:dyDescent="0.25">
      <c r="Q76" s="299"/>
      <c r="U76" s="269"/>
      <c r="V76" s="269"/>
      <c r="W76" s="269"/>
    </row>
    <row r="77" spans="2:23" ht="63" x14ac:dyDescent="0.25">
      <c r="B77" s="358" t="s">
        <v>400</v>
      </c>
      <c r="C77" s="358" t="s">
        <v>401</v>
      </c>
      <c r="D77" s="270" t="s">
        <v>402</v>
      </c>
      <c r="E77" s="270" t="s">
        <v>403</v>
      </c>
      <c r="F77" s="270" t="s">
        <v>386</v>
      </c>
      <c r="G77" s="301" t="s">
        <v>404</v>
      </c>
      <c r="H77" s="301" t="s">
        <v>405</v>
      </c>
      <c r="I77" s="270" t="s">
        <v>406</v>
      </c>
      <c r="J77" s="270" t="s">
        <v>407</v>
      </c>
      <c r="K77" s="301" t="s">
        <v>408</v>
      </c>
      <c r="L77" s="358" t="s">
        <v>409</v>
      </c>
      <c r="M77" s="358"/>
      <c r="N77" s="270" t="s">
        <v>408</v>
      </c>
      <c r="O77" s="358" t="s">
        <v>410</v>
      </c>
      <c r="P77" s="358"/>
      <c r="Q77" s="270" t="s">
        <v>411</v>
      </c>
      <c r="R77" s="270" t="s">
        <v>412</v>
      </c>
      <c r="S77" s="271" t="s">
        <v>413</v>
      </c>
      <c r="T77" s="270" t="s">
        <v>410</v>
      </c>
      <c r="U77" s="269"/>
      <c r="V77" s="269"/>
      <c r="W77" s="269"/>
    </row>
    <row r="78" spans="2:23" x14ac:dyDescent="0.25">
      <c r="B78" s="358"/>
      <c r="C78" s="358"/>
      <c r="D78" s="270" t="s">
        <v>416</v>
      </c>
      <c r="E78" s="270" t="s">
        <v>417</v>
      </c>
      <c r="F78" s="270" t="s">
        <v>417</v>
      </c>
      <c r="G78" s="301" t="s">
        <v>418</v>
      </c>
      <c r="H78" s="301" t="s">
        <v>417</v>
      </c>
      <c r="I78" s="270" t="s">
        <v>419</v>
      </c>
      <c r="J78" s="270" t="s">
        <v>419</v>
      </c>
      <c r="K78" s="301" t="s">
        <v>420</v>
      </c>
      <c r="L78" s="270" t="s">
        <v>421</v>
      </c>
      <c r="M78" s="270" t="s">
        <v>338</v>
      </c>
      <c r="N78" s="270" t="s">
        <v>422</v>
      </c>
      <c r="O78" s="273" t="s">
        <v>423</v>
      </c>
      <c r="P78" s="270" t="s">
        <v>423</v>
      </c>
      <c r="Q78" s="270"/>
      <c r="R78" s="270" t="s">
        <v>423</v>
      </c>
      <c r="S78" s="270" t="s">
        <v>423</v>
      </c>
      <c r="T78" s="270" t="s">
        <v>423</v>
      </c>
      <c r="U78" s="269"/>
      <c r="V78" s="269"/>
      <c r="W78" s="269"/>
    </row>
    <row r="79" spans="2:23" x14ac:dyDescent="0.25">
      <c r="B79" s="351">
        <v>3</v>
      </c>
      <c r="C79" s="274" t="s">
        <v>389</v>
      </c>
      <c r="D79" s="275">
        <v>4.8</v>
      </c>
      <c r="E79" s="274">
        <v>0.96899999999999997</v>
      </c>
      <c r="F79" s="274">
        <v>0.43</v>
      </c>
      <c r="G79" s="301">
        <v>28.25</v>
      </c>
      <c r="H79" s="302">
        <v>0.77300000000000002</v>
      </c>
      <c r="I79" s="274">
        <v>39</v>
      </c>
      <c r="J79" s="276">
        <f>H79*I79</f>
        <v>30.147000000000002</v>
      </c>
      <c r="K79" s="301">
        <v>425.1</v>
      </c>
      <c r="L79" s="279">
        <f>(D79/E79)*F79*G79*J79*K79</f>
        <v>771151.26256718277</v>
      </c>
      <c r="M79" s="297">
        <f>(L79*60)/1000000</f>
        <v>46.269075754030965</v>
      </c>
      <c r="N79" s="277">
        <f>K79/1000</f>
        <v>0.42510000000000003</v>
      </c>
      <c r="O79" s="280">
        <f>M79/N79</f>
        <v>108.84280346749226</v>
      </c>
      <c r="P79" s="352">
        <f>SUM(O79:O86)</f>
        <v>133.5501580640022</v>
      </c>
      <c r="Q79" s="303">
        <f>(O79/$P$44)*100</f>
        <v>176.0887122663807</v>
      </c>
      <c r="R79" s="353">
        <f>$T$22/($P$22/P79)</f>
        <v>12.300506498247341</v>
      </c>
      <c r="S79" s="280">
        <f>(Q79/100)*$R$44</f>
        <v>10.024859803593296</v>
      </c>
      <c r="T79" s="356">
        <f>SUM(S79:S86)</f>
        <v>12.300506498247341</v>
      </c>
      <c r="U79" s="269"/>
      <c r="V79" s="269"/>
      <c r="W79" s="269"/>
    </row>
    <row r="80" spans="2:23" x14ac:dyDescent="0.25">
      <c r="B80" s="351"/>
      <c r="C80" s="274" t="s">
        <v>391</v>
      </c>
      <c r="D80" s="275">
        <v>5.2299999999999999E-2</v>
      </c>
      <c r="E80" s="274">
        <v>0.94299999999999995</v>
      </c>
      <c r="F80" s="274">
        <v>0.43</v>
      </c>
      <c r="G80" s="301">
        <v>28.25</v>
      </c>
      <c r="H80" s="302">
        <v>0.92</v>
      </c>
      <c r="I80" s="274">
        <v>16</v>
      </c>
      <c r="J80" s="276">
        <f t="shared" ref="J80:J83" si="44">H80*I80</f>
        <v>14.72</v>
      </c>
      <c r="K80" s="301">
        <v>425.1</v>
      </c>
      <c r="L80" s="279">
        <f t="shared" ref="L80:L82" si="45">(D80/E80)*F80*G80*J80*K80</f>
        <v>4215.7594173658545</v>
      </c>
      <c r="M80" s="297">
        <f t="shared" ref="M80:M82" si="46">(L80*60)/1000000</f>
        <v>0.25294556504195126</v>
      </c>
      <c r="N80" s="277">
        <f t="shared" ref="N80:N82" si="47">K80/1000</f>
        <v>0.42510000000000003</v>
      </c>
      <c r="O80" s="280">
        <f t="shared" ref="O80:O82" si="48">M80/N80</f>
        <v>0.59502602926829273</v>
      </c>
      <c r="P80" s="352"/>
      <c r="Q80" s="303">
        <f>(O80/$P$44)*100</f>
        <v>0.96264855296680185</v>
      </c>
      <c r="R80" s="354"/>
      <c r="S80" s="280">
        <f>(Q80/100)*$R$44</f>
        <v>5.4804289607305087E-2</v>
      </c>
      <c r="T80" s="356"/>
      <c r="U80" s="269"/>
      <c r="V80" s="269"/>
      <c r="W80" s="269"/>
    </row>
    <row r="81" spans="2:23" x14ac:dyDescent="0.25">
      <c r="B81" s="351"/>
      <c r="C81" s="274" t="s">
        <v>425</v>
      </c>
      <c r="D81" s="275">
        <v>9.8000000000000004E-2</v>
      </c>
      <c r="E81" s="274">
        <v>0.99539999999999995</v>
      </c>
      <c r="F81" s="274">
        <v>0.78</v>
      </c>
      <c r="G81" s="301">
        <v>28.25</v>
      </c>
      <c r="H81" s="302">
        <v>1</v>
      </c>
      <c r="I81" s="274">
        <v>61</v>
      </c>
      <c r="J81" s="276">
        <f t="shared" si="44"/>
        <v>61</v>
      </c>
      <c r="K81" s="301">
        <v>425.1</v>
      </c>
      <c r="L81" s="279">
        <f t="shared" si="45"/>
        <v>56255.169050632925</v>
      </c>
      <c r="M81" s="297">
        <f t="shared" si="46"/>
        <v>3.3753101430379755</v>
      </c>
      <c r="N81" s="277">
        <f t="shared" si="47"/>
        <v>0.42510000000000003</v>
      </c>
      <c r="O81" s="280">
        <f t="shared" si="48"/>
        <v>7.9400379746835457</v>
      </c>
      <c r="P81" s="352"/>
      <c r="Q81" s="303">
        <f>(O81/$P$44)*100</f>
        <v>12.845599504663333</v>
      </c>
      <c r="R81" s="354"/>
      <c r="S81" s="280">
        <f>(Q81/100)*$R$44</f>
        <v>0.73130942051839576</v>
      </c>
      <c r="T81" s="356"/>
      <c r="U81" s="269"/>
      <c r="V81" s="269"/>
      <c r="W81" s="269"/>
    </row>
    <row r="82" spans="2:23" x14ac:dyDescent="0.25">
      <c r="B82" s="351"/>
      <c r="C82" s="274" t="s">
        <v>426</v>
      </c>
      <c r="D82" s="275">
        <v>0.2286</v>
      </c>
      <c r="E82" s="274">
        <v>0.97499999999999998</v>
      </c>
      <c r="F82" s="274">
        <v>0.25</v>
      </c>
      <c r="G82" s="301">
        <v>28.25</v>
      </c>
      <c r="H82" s="302">
        <v>0.99299999999999999</v>
      </c>
      <c r="I82" s="274">
        <v>11</v>
      </c>
      <c r="J82" s="276">
        <f t="shared" si="44"/>
        <v>10.923</v>
      </c>
      <c r="K82" s="301">
        <v>425.1</v>
      </c>
      <c r="L82" s="279">
        <f t="shared" si="45"/>
        <v>7688.8804756500003</v>
      </c>
      <c r="M82" s="297">
        <f t="shared" si="46"/>
        <v>0.46133282853899998</v>
      </c>
      <c r="N82" s="277">
        <f t="shared" si="47"/>
        <v>0.42510000000000003</v>
      </c>
      <c r="O82" s="280">
        <f t="shared" si="48"/>
        <v>1.0852336592307692</v>
      </c>
      <c r="P82" s="352"/>
      <c r="Q82" s="303">
        <f>(O82/$P$44)*100</f>
        <v>1.7557191791660605</v>
      </c>
      <c r="R82" s="354"/>
      <c r="S82" s="280">
        <f>(Q82/100)*$R$44</f>
        <v>9.9954383214488712E-2</v>
      </c>
      <c r="T82" s="356"/>
      <c r="U82" s="269"/>
      <c r="V82" s="269"/>
      <c r="W82" s="269"/>
    </row>
    <row r="83" spans="2:23" x14ac:dyDescent="0.25">
      <c r="B83" s="351"/>
      <c r="C83" s="274" t="s">
        <v>395</v>
      </c>
      <c r="D83" s="275">
        <v>4.3999999999999997E-2</v>
      </c>
      <c r="E83" s="274">
        <v>0.96789999999999998</v>
      </c>
      <c r="F83" s="274">
        <v>0.43</v>
      </c>
      <c r="G83" s="301">
        <v>28.25</v>
      </c>
      <c r="H83" s="302">
        <v>1</v>
      </c>
      <c r="I83" s="274">
        <v>64.5</v>
      </c>
      <c r="J83" s="276">
        <f t="shared" si="44"/>
        <v>64.5</v>
      </c>
      <c r="K83" s="301">
        <v>425.1</v>
      </c>
      <c r="L83" s="279">
        <f t="shared" ref="L83" si="49">(D83/E83)*F83*G83*J83*K83</f>
        <v>15141.186677859283</v>
      </c>
      <c r="M83" s="297">
        <f t="shared" ref="M83" si="50">(L83*60)/1000000</f>
        <v>0.90847120067155696</v>
      </c>
      <c r="N83" s="306">
        <f t="shared" ref="N83" si="51">K83/1000</f>
        <v>0.42510000000000003</v>
      </c>
      <c r="O83" s="280">
        <f t="shared" ref="O83" si="52">M83/N83</f>
        <v>2.1370764541791507</v>
      </c>
      <c r="P83" s="352"/>
      <c r="Q83" s="303">
        <f>(O83/$P$44)*100</f>
        <v>3.4574177514970246</v>
      </c>
      <c r="R83" s="354"/>
      <c r="S83" s="280">
        <f>(Q83/100)*$R$44</f>
        <v>0.19683333358006408</v>
      </c>
      <c r="T83" s="356"/>
      <c r="U83" s="269"/>
      <c r="V83" s="269"/>
      <c r="W83" s="269"/>
    </row>
    <row r="84" spans="2:23" ht="63" x14ac:dyDescent="0.25">
      <c r="B84" s="351"/>
      <c r="C84" s="274"/>
      <c r="D84" s="292" t="s">
        <v>427</v>
      </c>
      <c r="E84" s="292" t="s">
        <v>403</v>
      </c>
      <c r="F84" s="292" t="s">
        <v>428</v>
      </c>
      <c r="G84" s="304" t="s">
        <v>404</v>
      </c>
      <c r="H84" s="301"/>
      <c r="I84" s="270"/>
      <c r="J84" s="270"/>
      <c r="K84" s="304" t="s">
        <v>408</v>
      </c>
      <c r="L84" s="357" t="s">
        <v>409</v>
      </c>
      <c r="M84" s="357"/>
      <c r="N84" s="270" t="s">
        <v>408</v>
      </c>
      <c r="O84" s="260" t="s">
        <v>429</v>
      </c>
      <c r="P84" s="352"/>
      <c r="Q84" s="270" t="s">
        <v>411</v>
      </c>
      <c r="R84" s="354"/>
      <c r="S84" s="271" t="s">
        <v>413</v>
      </c>
      <c r="T84" s="356"/>
      <c r="U84" s="269"/>
      <c r="V84" s="269"/>
      <c r="W84" s="269"/>
    </row>
    <row r="85" spans="2:23" x14ac:dyDescent="0.25">
      <c r="B85" s="351"/>
      <c r="C85" s="270"/>
      <c r="D85" s="292" t="s">
        <v>430</v>
      </c>
      <c r="E85" s="292" t="s">
        <v>417</v>
      </c>
      <c r="F85" s="292" t="s">
        <v>417</v>
      </c>
      <c r="G85" s="304" t="s">
        <v>418</v>
      </c>
      <c r="H85" s="301"/>
      <c r="I85" s="270"/>
      <c r="J85" s="270"/>
      <c r="K85" s="304" t="s">
        <v>420</v>
      </c>
      <c r="L85" s="292" t="s">
        <v>421</v>
      </c>
      <c r="M85" s="292" t="s">
        <v>338</v>
      </c>
      <c r="N85" s="270" t="s">
        <v>422</v>
      </c>
      <c r="O85" s="273" t="s">
        <v>423</v>
      </c>
      <c r="P85" s="352"/>
      <c r="Q85" s="305"/>
      <c r="R85" s="354"/>
      <c r="S85" s="271"/>
      <c r="T85" s="356"/>
      <c r="U85" s="269"/>
      <c r="V85" s="269"/>
      <c r="W85" s="269"/>
    </row>
    <row r="86" spans="2:23" x14ac:dyDescent="0.25">
      <c r="B86" s="351"/>
      <c r="C86" s="274" t="s">
        <v>396</v>
      </c>
      <c r="D86" s="275">
        <v>9.16</v>
      </c>
      <c r="E86" s="274">
        <v>0.96599999999999997</v>
      </c>
      <c r="F86" s="274">
        <v>1</v>
      </c>
      <c r="G86" s="301">
        <v>28.25</v>
      </c>
      <c r="H86" s="301">
        <v>0.80571428571428583</v>
      </c>
      <c r="I86" s="285"/>
      <c r="J86" s="274"/>
      <c r="K86" s="301">
        <v>425.1</v>
      </c>
      <c r="L86" s="279">
        <f>(D86/E86)*F86*G86*K86*H86</f>
        <v>91750.61169476487</v>
      </c>
      <c r="M86" s="297">
        <f t="shared" ref="M86" si="53">(L86*60)/1000000</f>
        <v>5.5050367016858921</v>
      </c>
      <c r="N86" s="277">
        <f>K86/1000</f>
        <v>0.42510000000000003</v>
      </c>
      <c r="O86" s="280">
        <f t="shared" ref="O86" si="54">M86/N86</f>
        <v>12.949980479148181</v>
      </c>
      <c r="P86" s="352"/>
      <c r="Q86" s="303">
        <f>(O86/$P$44)*100</f>
        <v>20.950814512316697</v>
      </c>
      <c r="R86" s="355"/>
      <c r="S86" s="280">
        <f>(Q86/100)*$R$44</f>
        <v>1.1927452677337909</v>
      </c>
      <c r="T86" s="356"/>
      <c r="U86" s="269"/>
      <c r="V86" s="269"/>
      <c r="W86" s="269"/>
    </row>
    <row r="87" spans="2:23" x14ac:dyDescent="0.25">
      <c r="U87" s="269"/>
      <c r="V87" s="269"/>
      <c r="W87" s="269"/>
    </row>
    <row r="88" spans="2:23" ht="63" x14ac:dyDescent="0.25">
      <c r="B88" s="358" t="s">
        <v>400</v>
      </c>
      <c r="C88" s="358" t="s">
        <v>401</v>
      </c>
      <c r="D88" s="270" t="s">
        <v>402</v>
      </c>
      <c r="E88" s="270" t="s">
        <v>403</v>
      </c>
      <c r="F88" s="270" t="s">
        <v>386</v>
      </c>
      <c r="G88" s="301" t="s">
        <v>404</v>
      </c>
      <c r="H88" s="301" t="s">
        <v>405</v>
      </c>
      <c r="I88" s="270" t="s">
        <v>406</v>
      </c>
      <c r="J88" s="270" t="s">
        <v>407</v>
      </c>
      <c r="K88" s="301" t="s">
        <v>408</v>
      </c>
      <c r="L88" s="358" t="s">
        <v>409</v>
      </c>
      <c r="M88" s="358"/>
      <c r="N88" s="270" t="s">
        <v>408</v>
      </c>
      <c r="O88" s="358" t="s">
        <v>410</v>
      </c>
      <c r="P88" s="358"/>
      <c r="Q88" s="270" t="s">
        <v>411</v>
      </c>
      <c r="R88" s="270" t="s">
        <v>412</v>
      </c>
      <c r="S88" s="271" t="s">
        <v>413</v>
      </c>
      <c r="T88" s="270" t="s">
        <v>410</v>
      </c>
      <c r="U88" s="269"/>
      <c r="V88" s="269"/>
      <c r="W88" s="269"/>
    </row>
    <row r="89" spans="2:23" x14ac:dyDescent="0.25">
      <c r="B89" s="358"/>
      <c r="C89" s="358"/>
      <c r="D89" s="270" t="s">
        <v>416</v>
      </c>
      <c r="E89" s="270" t="s">
        <v>417</v>
      </c>
      <c r="F89" s="270" t="s">
        <v>417</v>
      </c>
      <c r="G89" s="301" t="s">
        <v>418</v>
      </c>
      <c r="H89" s="301" t="s">
        <v>417</v>
      </c>
      <c r="I89" s="270" t="s">
        <v>419</v>
      </c>
      <c r="J89" s="270" t="s">
        <v>419</v>
      </c>
      <c r="K89" s="301" t="s">
        <v>420</v>
      </c>
      <c r="L89" s="270" t="s">
        <v>421</v>
      </c>
      <c r="M89" s="270" t="s">
        <v>338</v>
      </c>
      <c r="N89" s="270" t="s">
        <v>422</v>
      </c>
      <c r="O89" s="273" t="s">
        <v>423</v>
      </c>
      <c r="P89" s="270" t="s">
        <v>423</v>
      </c>
      <c r="Q89" s="270"/>
      <c r="R89" s="270" t="s">
        <v>423</v>
      </c>
      <c r="S89" s="270" t="s">
        <v>423</v>
      </c>
      <c r="T89" s="270" t="s">
        <v>423</v>
      </c>
      <c r="U89" s="269"/>
      <c r="V89" s="269"/>
      <c r="W89" s="269"/>
    </row>
    <row r="90" spans="2:23" x14ac:dyDescent="0.25">
      <c r="B90" s="351">
        <v>4</v>
      </c>
      <c r="C90" s="274" t="s">
        <v>389</v>
      </c>
      <c r="D90" s="275">
        <v>4.8</v>
      </c>
      <c r="E90" s="274">
        <v>0.96899999999999997</v>
      </c>
      <c r="F90" s="274">
        <v>0.43</v>
      </c>
      <c r="G90" s="301">
        <v>29.12</v>
      </c>
      <c r="H90" s="302">
        <v>0.88400000000000001</v>
      </c>
      <c r="I90" s="274">
        <v>39</v>
      </c>
      <c r="J90" s="276">
        <f>H90*I90</f>
        <v>34.475999999999999</v>
      </c>
      <c r="K90" s="301">
        <v>470.6</v>
      </c>
      <c r="L90" s="279">
        <f>(D90/E90)*F90*G90*J90*K90</f>
        <v>1006343.1190635791</v>
      </c>
      <c r="M90" s="297">
        <f>(L90*60)/1000000</f>
        <v>60.380587143814751</v>
      </c>
      <c r="N90" s="277">
        <f>K90/1000</f>
        <v>0.47060000000000002</v>
      </c>
      <c r="O90" s="280">
        <f>M90/N90</f>
        <v>128.30554004210529</v>
      </c>
      <c r="P90" s="352">
        <f>SUM(O90:O97)</f>
        <v>154.57258657171698</v>
      </c>
      <c r="Q90" s="303">
        <f>(O90/$P$44)*100</f>
        <v>207.5760326166598</v>
      </c>
      <c r="R90" s="353">
        <f>$T$22/($P$22/P90)</f>
        <v>14.236756684818902</v>
      </c>
      <c r="S90" s="280">
        <f>(Q90/100)*$R$44</f>
        <v>11.81745609235975</v>
      </c>
      <c r="T90" s="356">
        <f>SUM(S90:S97)</f>
        <v>14.2367566848189</v>
      </c>
      <c r="U90" s="269"/>
      <c r="V90" s="269"/>
      <c r="W90" s="269"/>
    </row>
    <row r="91" spans="2:23" x14ac:dyDescent="0.25">
      <c r="B91" s="351"/>
      <c r="C91" s="274" t="s">
        <v>391</v>
      </c>
      <c r="D91" s="275">
        <v>5.2299999999999999E-2</v>
      </c>
      <c r="E91" s="274">
        <v>0.94299999999999995</v>
      </c>
      <c r="F91" s="274">
        <v>0.43</v>
      </c>
      <c r="G91" s="301">
        <v>29.12</v>
      </c>
      <c r="H91" s="302">
        <v>0.94</v>
      </c>
      <c r="I91" s="274">
        <v>16</v>
      </c>
      <c r="J91" s="276">
        <f t="shared" ref="J91:J94" si="55">H91*I91</f>
        <v>15.04</v>
      </c>
      <c r="K91" s="301">
        <v>470.6</v>
      </c>
      <c r="L91" s="279">
        <f t="shared" ref="L91:L93" si="56">(D91/E91)*F91*G91*J91*K91</f>
        <v>4915.2949270586641</v>
      </c>
      <c r="M91" s="297">
        <f t="shared" ref="M91:M93" si="57">(L91*60)/1000000</f>
        <v>0.29491769562351983</v>
      </c>
      <c r="N91" s="277">
        <f t="shared" ref="N91:N93" si="58">K91/1000</f>
        <v>0.47060000000000002</v>
      </c>
      <c r="O91" s="280">
        <f t="shared" ref="O91:O93" si="59">M91/N91</f>
        <v>0.62668443608907742</v>
      </c>
      <c r="P91" s="352"/>
      <c r="Q91" s="303">
        <f>(O91/$P$44)*100</f>
        <v>1.0138663451577403</v>
      </c>
      <c r="R91" s="354"/>
      <c r="S91" s="280">
        <f>(Q91/100)*$R$44</f>
        <v>5.7720156158631804E-2</v>
      </c>
      <c r="T91" s="356"/>
      <c r="U91" s="269"/>
      <c r="V91" s="269"/>
      <c r="W91" s="269"/>
    </row>
    <row r="92" spans="2:23" x14ac:dyDescent="0.25">
      <c r="B92" s="351"/>
      <c r="C92" s="274" t="s">
        <v>425</v>
      </c>
      <c r="D92" s="275">
        <v>9.8000000000000004E-2</v>
      </c>
      <c r="E92" s="274">
        <v>0.99539999999999995</v>
      </c>
      <c r="F92" s="274">
        <v>0.78</v>
      </c>
      <c r="G92" s="301">
        <v>29.12</v>
      </c>
      <c r="H92" s="302">
        <v>1</v>
      </c>
      <c r="I92" s="274">
        <v>61</v>
      </c>
      <c r="J92" s="276">
        <f t="shared" si="55"/>
        <v>61</v>
      </c>
      <c r="K92" s="301">
        <v>470.6</v>
      </c>
      <c r="L92" s="279">
        <f t="shared" si="56"/>
        <v>64194.256094514778</v>
      </c>
      <c r="M92" s="297">
        <f t="shared" si="57"/>
        <v>3.851655365670887</v>
      </c>
      <c r="N92" s="277">
        <f t="shared" si="58"/>
        <v>0.47060000000000002</v>
      </c>
      <c r="O92" s="280">
        <f t="shared" si="59"/>
        <v>8.1845630379746854</v>
      </c>
      <c r="P92" s="352"/>
      <c r="Q92" s="303">
        <f>(O92/$P$44)*100</f>
        <v>13.241198498258274</v>
      </c>
      <c r="R92" s="354"/>
      <c r="S92" s="280">
        <f>(Q92/100)*$R$44</f>
        <v>0.75383116196444899</v>
      </c>
      <c r="T92" s="356"/>
      <c r="U92" s="269"/>
      <c r="V92" s="269"/>
      <c r="W92" s="269"/>
    </row>
    <row r="93" spans="2:23" x14ac:dyDescent="0.25">
      <c r="B93" s="351"/>
      <c r="C93" s="274" t="s">
        <v>426</v>
      </c>
      <c r="D93" s="275">
        <v>0.2286</v>
      </c>
      <c r="E93" s="274">
        <v>0.97499999999999998</v>
      </c>
      <c r="F93" s="274">
        <v>0.25</v>
      </c>
      <c r="G93" s="301">
        <v>29.12</v>
      </c>
      <c r="H93" s="302">
        <v>0.998</v>
      </c>
      <c r="I93" s="274">
        <v>11</v>
      </c>
      <c r="J93" s="276">
        <f t="shared" si="55"/>
        <v>10.978</v>
      </c>
      <c r="K93" s="301">
        <v>470.6</v>
      </c>
      <c r="L93" s="279">
        <f t="shared" si="56"/>
        <v>8818.1633379840023</v>
      </c>
      <c r="M93" s="297">
        <f t="shared" si="57"/>
        <v>0.52908980027904007</v>
      </c>
      <c r="N93" s="277">
        <f t="shared" si="58"/>
        <v>0.47060000000000002</v>
      </c>
      <c r="O93" s="280">
        <f t="shared" si="59"/>
        <v>1.1242877184000002</v>
      </c>
      <c r="P93" s="352"/>
      <c r="Q93" s="303">
        <f>(O93/$P$44)*100</f>
        <v>1.8189018496669989</v>
      </c>
      <c r="R93" s="354"/>
      <c r="S93" s="280">
        <f>(Q93/100)*$R$44</f>
        <v>0.10355141908144624</v>
      </c>
      <c r="T93" s="356"/>
      <c r="U93" s="269"/>
      <c r="V93" s="269"/>
      <c r="W93" s="269"/>
    </row>
    <row r="94" spans="2:23" x14ac:dyDescent="0.25">
      <c r="B94" s="351"/>
      <c r="C94" s="274" t="s">
        <v>395</v>
      </c>
      <c r="D94" s="275">
        <v>4.3999999999999997E-2</v>
      </c>
      <c r="E94" s="274">
        <v>0.96789999999999998</v>
      </c>
      <c r="F94" s="274">
        <v>0.43</v>
      </c>
      <c r="G94" s="301">
        <v>29.12</v>
      </c>
      <c r="H94" s="302">
        <v>1</v>
      </c>
      <c r="I94" s="274">
        <v>64.5</v>
      </c>
      <c r="J94" s="276">
        <f t="shared" si="55"/>
        <v>64.5</v>
      </c>
      <c r="K94" s="301">
        <v>470.6</v>
      </c>
      <c r="L94" s="279">
        <f t="shared" ref="L94" si="60">(D94/E94)*F94*G94*J94*K94</f>
        <v>17278.007187188756</v>
      </c>
      <c r="M94" s="297">
        <f t="shared" ref="M94" si="61">(L94*60)/1000000</f>
        <v>1.0366804312313254</v>
      </c>
      <c r="N94" s="306">
        <f t="shared" ref="N94" si="62">K94/1000</f>
        <v>0.47060000000000002</v>
      </c>
      <c r="O94" s="280">
        <f t="shared" ref="O94" si="63">M94/N94</f>
        <v>2.2028908440954638</v>
      </c>
      <c r="P94" s="352"/>
      <c r="Q94" s="303">
        <f>(O94/$P$44)*100</f>
        <v>3.5638939795962234</v>
      </c>
      <c r="R94" s="354"/>
      <c r="S94" s="280">
        <f>(Q94/100)*$R$44</f>
        <v>0.20289510349916687</v>
      </c>
      <c r="T94" s="356"/>
      <c r="U94" s="269"/>
      <c r="V94" s="269"/>
      <c r="W94" s="269"/>
    </row>
    <row r="95" spans="2:23" ht="63" x14ac:dyDescent="0.25">
      <c r="B95" s="351"/>
      <c r="C95" s="274"/>
      <c r="D95" s="292" t="s">
        <v>427</v>
      </c>
      <c r="E95" s="292" t="s">
        <v>403</v>
      </c>
      <c r="F95" s="292" t="s">
        <v>428</v>
      </c>
      <c r="G95" s="304" t="s">
        <v>404</v>
      </c>
      <c r="H95" s="301"/>
      <c r="I95" s="270"/>
      <c r="J95" s="270"/>
      <c r="K95" s="304" t="s">
        <v>408</v>
      </c>
      <c r="L95" s="357" t="s">
        <v>409</v>
      </c>
      <c r="M95" s="357"/>
      <c r="N95" s="270" t="s">
        <v>408</v>
      </c>
      <c r="O95" s="260" t="s">
        <v>429</v>
      </c>
      <c r="P95" s="352"/>
      <c r="Q95" s="270" t="s">
        <v>411</v>
      </c>
      <c r="R95" s="354"/>
      <c r="S95" s="271" t="s">
        <v>413</v>
      </c>
      <c r="T95" s="356"/>
      <c r="U95" s="269"/>
      <c r="V95" s="269"/>
      <c r="W95" s="269"/>
    </row>
    <row r="96" spans="2:23" x14ac:dyDescent="0.25">
      <c r="B96" s="351"/>
      <c r="C96" s="270"/>
      <c r="D96" s="292" t="s">
        <v>430</v>
      </c>
      <c r="E96" s="292" t="s">
        <v>417</v>
      </c>
      <c r="F96" s="292" t="s">
        <v>417</v>
      </c>
      <c r="G96" s="304" t="s">
        <v>418</v>
      </c>
      <c r="H96" s="301"/>
      <c r="I96" s="270"/>
      <c r="J96" s="270"/>
      <c r="K96" s="304" t="s">
        <v>420</v>
      </c>
      <c r="L96" s="292" t="s">
        <v>421</v>
      </c>
      <c r="M96" s="292" t="s">
        <v>338</v>
      </c>
      <c r="N96" s="270" t="s">
        <v>422</v>
      </c>
      <c r="O96" s="273" t="s">
        <v>423</v>
      </c>
      <c r="P96" s="352"/>
      <c r="Q96" s="305"/>
      <c r="R96" s="354"/>
      <c r="S96" s="271"/>
      <c r="T96" s="356"/>
      <c r="U96" s="269"/>
      <c r="V96" s="269"/>
      <c r="W96" s="269"/>
    </row>
    <row r="97" spans="2:23" x14ac:dyDescent="0.25">
      <c r="B97" s="351"/>
      <c r="C97" s="274" t="s">
        <v>396</v>
      </c>
      <c r="D97" s="275">
        <v>9.16</v>
      </c>
      <c r="E97" s="274">
        <v>0.96599999999999997</v>
      </c>
      <c r="F97" s="274">
        <v>1</v>
      </c>
      <c r="G97" s="301">
        <v>29.12</v>
      </c>
      <c r="H97" s="301">
        <v>0.8527835051546393</v>
      </c>
      <c r="I97" s="285"/>
      <c r="J97" s="274"/>
      <c r="K97" s="301">
        <v>470.6</v>
      </c>
      <c r="L97" s="279">
        <f>(D97/E97)*F97*G97*K97*H97</f>
        <v>110815.48006717468</v>
      </c>
      <c r="M97" s="297">
        <f t="shared" ref="M97" si="64">(L97*60)/1000000</f>
        <v>6.648928804030481</v>
      </c>
      <c r="N97" s="277">
        <f>K97/1000</f>
        <v>0.47060000000000002</v>
      </c>
      <c r="O97" s="280">
        <f t="shared" ref="O97" si="65">M97/N97</f>
        <v>14.128620493052445</v>
      </c>
      <c r="P97" s="352"/>
      <c r="Q97" s="303">
        <f>(O97/$P$44)*100</f>
        <v>22.857648916265301</v>
      </c>
      <c r="R97" s="355"/>
      <c r="S97" s="280">
        <f>(Q97/100)*$R$44</f>
        <v>1.3013027517554558</v>
      </c>
      <c r="T97" s="356"/>
      <c r="U97" s="269"/>
      <c r="V97" s="269"/>
      <c r="W97" s="269"/>
    </row>
    <row r="98" spans="2:23" x14ac:dyDescent="0.25">
      <c r="U98" s="269"/>
      <c r="V98" s="269"/>
      <c r="W98" s="269"/>
    </row>
    <row r="99" spans="2:23" x14ac:dyDescent="0.25">
      <c r="U99" s="269"/>
      <c r="V99" s="269"/>
      <c r="W99" s="269"/>
    </row>
    <row r="100" spans="2:23" ht="63" x14ac:dyDescent="0.25">
      <c r="B100" s="358" t="s">
        <v>400</v>
      </c>
      <c r="C100" s="358" t="s">
        <v>401</v>
      </c>
      <c r="D100" s="270" t="s">
        <v>402</v>
      </c>
      <c r="E100" s="270" t="s">
        <v>403</v>
      </c>
      <c r="F100" s="270" t="s">
        <v>386</v>
      </c>
      <c r="G100" s="301" t="s">
        <v>404</v>
      </c>
      <c r="H100" s="301" t="s">
        <v>405</v>
      </c>
      <c r="I100" s="270" t="s">
        <v>406</v>
      </c>
      <c r="J100" s="270" t="s">
        <v>407</v>
      </c>
      <c r="K100" s="301" t="s">
        <v>408</v>
      </c>
      <c r="L100" s="358" t="s">
        <v>409</v>
      </c>
      <c r="M100" s="358"/>
      <c r="N100" s="270" t="s">
        <v>408</v>
      </c>
      <c r="O100" s="358" t="s">
        <v>410</v>
      </c>
      <c r="P100" s="358"/>
      <c r="Q100" s="270" t="s">
        <v>411</v>
      </c>
      <c r="R100" s="270" t="s">
        <v>412</v>
      </c>
      <c r="S100" s="271" t="s">
        <v>413</v>
      </c>
      <c r="T100" s="270" t="s">
        <v>410</v>
      </c>
      <c r="U100" s="269"/>
      <c r="V100" s="269"/>
      <c r="W100" s="269"/>
    </row>
    <row r="101" spans="2:23" x14ac:dyDescent="0.25">
      <c r="B101" s="358"/>
      <c r="C101" s="358"/>
      <c r="D101" s="270" t="s">
        <v>416</v>
      </c>
      <c r="E101" s="270" t="s">
        <v>417</v>
      </c>
      <c r="F101" s="270" t="s">
        <v>417</v>
      </c>
      <c r="G101" s="301" t="s">
        <v>418</v>
      </c>
      <c r="H101" s="301" t="s">
        <v>417</v>
      </c>
      <c r="I101" s="270" t="s">
        <v>419</v>
      </c>
      <c r="J101" s="270" t="s">
        <v>419</v>
      </c>
      <c r="K101" s="301" t="s">
        <v>420</v>
      </c>
      <c r="L101" s="270" t="s">
        <v>421</v>
      </c>
      <c r="M101" s="270" t="s">
        <v>338</v>
      </c>
      <c r="N101" s="270" t="s">
        <v>422</v>
      </c>
      <c r="O101" s="273" t="s">
        <v>423</v>
      </c>
      <c r="P101" s="270" t="s">
        <v>423</v>
      </c>
      <c r="Q101" s="270"/>
      <c r="R101" s="270" t="s">
        <v>423</v>
      </c>
      <c r="S101" s="270" t="s">
        <v>423</v>
      </c>
      <c r="T101" s="270" t="s">
        <v>423</v>
      </c>
      <c r="U101" s="269"/>
      <c r="V101" s="269"/>
      <c r="W101" s="269"/>
    </row>
    <row r="102" spans="2:23" x14ac:dyDescent="0.25">
      <c r="B102" s="351">
        <v>4.5</v>
      </c>
      <c r="C102" s="274" t="s">
        <v>389</v>
      </c>
      <c r="D102" s="275">
        <v>4.8</v>
      </c>
      <c r="E102" s="274">
        <v>0.96899999999999997</v>
      </c>
      <c r="F102" s="274">
        <v>0.43</v>
      </c>
      <c r="G102" s="301">
        <v>29.55</v>
      </c>
      <c r="H102" s="302">
        <v>0.91879507086879786</v>
      </c>
      <c r="I102" s="274">
        <v>39</v>
      </c>
      <c r="J102" s="276">
        <f>H102*I102</f>
        <v>35.833007763883117</v>
      </c>
      <c r="K102" s="301">
        <v>491.68299999999999</v>
      </c>
      <c r="L102" s="279">
        <f>(D102/E102)*F102*G102*J102*K102</f>
        <v>1108949.7249823259</v>
      </c>
      <c r="M102" s="297">
        <f>(L102*60)/1000000</f>
        <v>66.536983498939563</v>
      </c>
      <c r="N102" s="277">
        <f>K102/1000</f>
        <v>0.49168299999999998</v>
      </c>
      <c r="O102" s="280">
        <f>M102/N102</f>
        <v>135.32496242282033</v>
      </c>
      <c r="P102" s="352">
        <f>SUM(O102:O109)</f>
        <v>162.27041080003733</v>
      </c>
      <c r="Q102" s="303">
        <f>(O102/$P$44)*100</f>
        <v>218.93223632050035</v>
      </c>
      <c r="R102" s="353">
        <f>$T$22/($P$22/P102)</f>
        <v>14.945757245472995</v>
      </c>
      <c r="S102" s="280">
        <f>(Q102/100)*$R$44</f>
        <v>12.463973115323885</v>
      </c>
      <c r="T102" s="356">
        <f>SUM(S102:S109)</f>
        <v>14.945757245472997</v>
      </c>
      <c r="U102" s="269"/>
      <c r="V102" s="269"/>
      <c r="W102" s="269"/>
    </row>
    <row r="103" spans="2:23" x14ac:dyDescent="0.25">
      <c r="B103" s="351"/>
      <c r="C103" s="274" t="s">
        <v>391</v>
      </c>
      <c r="D103" s="275">
        <v>5.2299999999999999E-2</v>
      </c>
      <c r="E103" s="274">
        <v>0.94299999999999995</v>
      </c>
      <c r="F103" s="274">
        <v>0.43</v>
      </c>
      <c r="G103" s="301">
        <v>29.55</v>
      </c>
      <c r="H103" s="302">
        <v>0.94630790190735692</v>
      </c>
      <c r="I103" s="274">
        <v>16</v>
      </c>
      <c r="J103" s="276">
        <f t="shared" ref="J103:J106" si="66">H103*I103</f>
        <v>15.140926430517711</v>
      </c>
      <c r="K103" s="301">
        <v>491.68299999999999</v>
      </c>
      <c r="L103" s="279">
        <f t="shared" ref="L103:L105" si="67">(D103/E103)*F103*G103*J103*K103</f>
        <v>5246.3055281603729</v>
      </c>
      <c r="M103" s="297">
        <f t="shared" ref="M103:M105" si="68">(L103*60)/1000000</f>
        <v>0.31477833168962238</v>
      </c>
      <c r="N103" s="277">
        <f t="shared" ref="N103:N105" si="69">K103/1000</f>
        <v>0.49168299999999998</v>
      </c>
      <c r="O103" s="280">
        <f t="shared" ref="O103:O105" si="70">M103/N103</f>
        <v>0.64020584744565578</v>
      </c>
      <c r="P103" s="352"/>
      <c r="Q103" s="303">
        <f>(O103/$P$44)*100</f>
        <v>1.035741635374011</v>
      </c>
      <c r="R103" s="354"/>
      <c r="S103" s="280">
        <f>(Q103/100)*$R$44</f>
        <v>5.8965532507623923E-2</v>
      </c>
      <c r="T103" s="356"/>
      <c r="U103" s="269"/>
      <c r="V103" s="269"/>
      <c r="W103" s="269"/>
    </row>
    <row r="104" spans="2:23" x14ac:dyDescent="0.25">
      <c r="B104" s="351"/>
      <c r="C104" s="274" t="s">
        <v>425</v>
      </c>
      <c r="D104" s="275">
        <v>9.8000000000000004E-2</v>
      </c>
      <c r="E104" s="274">
        <v>0.99539999999999995</v>
      </c>
      <c r="F104" s="274">
        <v>0.78</v>
      </c>
      <c r="G104" s="301">
        <v>29.55</v>
      </c>
      <c r="H104" s="302">
        <v>1</v>
      </c>
      <c r="I104" s="274">
        <v>61</v>
      </c>
      <c r="J104" s="276">
        <f t="shared" si="66"/>
        <v>61</v>
      </c>
      <c r="K104" s="301">
        <v>491.68299999999999</v>
      </c>
      <c r="L104" s="279">
        <f t="shared" si="67"/>
        <v>68060.565772278496</v>
      </c>
      <c r="M104" s="297">
        <f t="shared" si="68"/>
        <v>4.0836339463367102</v>
      </c>
      <c r="N104" s="277">
        <f t="shared" si="69"/>
        <v>0.49168299999999998</v>
      </c>
      <c r="O104" s="280">
        <f t="shared" si="70"/>
        <v>8.3054202531645593</v>
      </c>
      <c r="P104" s="352"/>
      <c r="Q104" s="303">
        <f>(O104/$P$44)*100</f>
        <v>13.436724437621292</v>
      </c>
      <c r="R104" s="354"/>
      <c r="S104" s="280">
        <f>(Q104/100)*$R$44</f>
        <v>0.76496259739180872</v>
      </c>
      <c r="T104" s="356"/>
      <c r="U104" s="269"/>
      <c r="V104" s="269"/>
      <c r="W104" s="269"/>
    </row>
    <row r="105" spans="2:23" x14ac:dyDescent="0.25">
      <c r="B105" s="351"/>
      <c r="C105" s="274" t="s">
        <v>426</v>
      </c>
      <c r="D105" s="275">
        <v>0.2286</v>
      </c>
      <c r="E105" s="274">
        <v>0.97499999999999998</v>
      </c>
      <c r="F105" s="274">
        <v>0.25</v>
      </c>
      <c r="G105" s="301">
        <v>29.55</v>
      </c>
      <c r="H105" s="302">
        <v>0.99933604666727482</v>
      </c>
      <c r="I105" s="274">
        <v>11</v>
      </c>
      <c r="J105" s="276">
        <f t="shared" si="66"/>
        <v>10.992696513340023</v>
      </c>
      <c r="K105" s="301">
        <v>491.68299999999999</v>
      </c>
      <c r="L105" s="279">
        <f t="shared" si="67"/>
        <v>9361.7822431529767</v>
      </c>
      <c r="M105" s="297">
        <f t="shared" si="68"/>
        <v>0.56170693458917864</v>
      </c>
      <c r="N105" s="277">
        <f t="shared" si="69"/>
        <v>0.49168299999999998</v>
      </c>
      <c r="O105" s="280">
        <f t="shared" si="70"/>
        <v>1.1424168307409015</v>
      </c>
      <c r="P105" s="352"/>
      <c r="Q105" s="303">
        <f>(O105/$P$44)*100</f>
        <v>1.8482315981201918</v>
      </c>
      <c r="R105" s="354"/>
      <c r="S105" s="280">
        <f>(Q105/100)*$R$44</f>
        <v>0.10522118321643023</v>
      </c>
      <c r="T105" s="356"/>
      <c r="U105" s="269"/>
      <c r="V105" s="269"/>
      <c r="W105" s="269"/>
    </row>
    <row r="106" spans="2:23" x14ac:dyDescent="0.25">
      <c r="B106" s="351"/>
      <c r="C106" s="274" t="s">
        <v>395</v>
      </c>
      <c r="D106" s="275">
        <v>4.3999999999999997E-2</v>
      </c>
      <c r="E106" s="274">
        <v>0.96789999999999998</v>
      </c>
      <c r="F106" s="274">
        <v>0.43</v>
      </c>
      <c r="G106" s="301">
        <v>29.55</v>
      </c>
      <c r="H106" s="302">
        <v>1</v>
      </c>
      <c r="I106" s="274">
        <v>64.5</v>
      </c>
      <c r="J106" s="276">
        <f t="shared" si="66"/>
        <v>64.5</v>
      </c>
      <c r="K106" s="301">
        <v>491.68299999999999</v>
      </c>
      <c r="L106" s="279">
        <f t="shared" ref="L106" si="71">(D106/E106)*F106*G106*J106*K106</f>
        <v>18318.631854634776</v>
      </c>
      <c r="M106" s="297">
        <f t="shared" ref="M106" si="72">(L106*60)/1000000</f>
        <v>1.0991179112780864</v>
      </c>
      <c r="N106" s="306">
        <f t="shared" ref="N106" si="73">K106/1000</f>
        <v>0.49168299999999998</v>
      </c>
      <c r="O106" s="280">
        <f t="shared" ref="O106" si="74">M106/N106</f>
        <v>2.2354197954334123</v>
      </c>
      <c r="P106" s="352"/>
      <c r="Q106" s="303">
        <f>(O106/$P$44)*100</f>
        <v>3.6165201613004268</v>
      </c>
      <c r="R106" s="354"/>
      <c r="S106" s="280">
        <f>(Q106/100)*$R$44</f>
        <v>0.20589115070056258</v>
      </c>
      <c r="T106" s="356"/>
      <c r="U106" s="269"/>
      <c r="V106" s="269"/>
      <c r="W106" s="269"/>
    </row>
    <row r="107" spans="2:23" ht="63" x14ac:dyDescent="0.25">
      <c r="B107" s="351"/>
      <c r="C107" s="274"/>
      <c r="D107" s="292" t="s">
        <v>427</v>
      </c>
      <c r="E107" s="292" t="s">
        <v>403</v>
      </c>
      <c r="F107" s="292" t="s">
        <v>428</v>
      </c>
      <c r="G107" s="304" t="s">
        <v>404</v>
      </c>
      <c r="H107" s="301"/>
      <c r="I107" s="270"/>
      <c r="J107" s="270"/>
      <c r="K107" s="304" t="s">
        <v>408</v>
      </c>
      <c r="L107" s="357" t="s">
        <v>409</v>
      </c>
      <c r="M107" s="357"/>
      <c r="N107" s="270" t="s">
        <v>408</v>
      </c>
      <c r="O107" s="260" t="s">
        <v>429</v>
      </c>
      <c r="P107" s="352"/>
      <c r="Q107" s="270" t="s">
        <v>411</v>
      </c>
      <c r="R107" s="354"/>
      <c r="S107" s="271" t="s">
        <v>413</v>
      </c>
      <c r="T107" s="356"/>
      <c r="U107" s="269"/>
      <c r="V107" s="269"/>
      <c r="W107" s="269"/>
    </row>
    <row r="108" spans="2:23" x14ac:dyDescent="0.25">
      <c r="B108" s="351"/>
      <c r="C108" s="270"/>
      <c r="D108" s="292" t="s">
        <v>430</v>
      </c>
      <c r="E108" s="292" t="s">
        <v>417</v>
      </c>
      <c r="F108" s="292" t="s">
        <v>417</v>
      </c>
      <c r="G108" s="304" t="s">
        <v>418</v>
      </c>
      <c r="H108" s="301"/>
      <c r="I108" s="270"/>
      <c r="J108" s="270"/>
      <c r="K108" s="304" t="s">
        <v>420</v>
      </c>
      <c r="L108" s="292" t="s">
        <v>421</v>
      </c>
      <c r="M108" s="292" t="s">
        <v>338</v>
      </c>
      <c r="N108" s="270" t="s">
        <v>422</v>
      </c>
      <c r="O108" s="273" t="s">
        <v>423</v>
      </c>
      <c r="P108" s="352"/>
      <c r="Q108" s="305"/>
      <c r="R108" s="354"/>
      <c r="S108" s="271"/>
      <c r="T108" s="356"/>
      <c r="U108" s="269"/>
      <c r="V108" s="269"/>
      <c r="W108" s="269"/>
    </row>
    <row r="109" spans="2:23" x14ac:dyDescent="0.25">
      <c r="B109" s="351"/>
      <c r="C109" s="274" t="s">
        <v>396</v>
      </c>
      <c r="D109" s="275">
        <v>9.16</v>
      </c>
      <c r="E109" s="274">
        <v>0.96599999999999997</v>
      </c>
      <c r="F109" s="274">
        <v>1</v>
      </c>
      <c r="G109" s="301">
        <v>29.55</v>
      </c>
      <c r="H109" s="301">
        <v>0.8697196261682244</v>
      </c>
      <c r="I109" s="285"/>
      <c r="J109" s="274"/>
      <c r="K109" s="301">
        <v>491.68299999999999</v>
      </c>
      <c r="L109" s="279">
        <f>(D109/E109)*F109*G109*K109*H109</f>
        <v>119823.02950935974</v>
      </c>
      <c r="M109" s="297">
        <f t="shared" ref="M109" si="75">(L109*60)/1000000</f>
        <v>7.1893817705615843</v>
      </c>
      <c r="N109" s="277">
        <f>K109/1000</f>
        <v>0.49168299999999998</v>
      </c>
      <c r="O109" s="280">
        <f t="shared" ref="O109" si="76">M109/N109</f>
        <v>14.621985650432462</v>
      </c>
      <c r="P109" s="352"/>
      <c r="Q109" s="303">
        <f>(O109/$P$44)*100</f>
        <v>23.655827872268532</v>
      </c>
      <c r="R109" s="355"/>
      <c r="S109" s="280">
        <f>(Q109/100)*$R$44</f>
        <v>1.3467436663326846</v>
      </c>
      <c r="T109" s="356"/>
      <c r="U109" s="269"/>
      <c r="V109" s="269"/>
      <c r="W109" s="269"/>
    </row>
    <row r="110" spans="2:23" x14ac:dyDescent="0.25">
      <c r="U110" s="269"/>
      <c r="V110" s="269"/>
      <c r="W110" s="269"/>
    </row>
    <row r="111" spans="2:23" x14ac:dyDescent="0.25">
      <c r="U111" s="269"/>
      <c r="V111" s="269"/>
      <c r="W111" s="269"/>
    </row>
    <row r="112" spans="2:23" ht="63" x14ac:dyDescent="0.25">
      <c r="B112" s="358" t="s">
        <v>400</v>
      </c>
      <c r="C112" s="358" t="s">
        <v>401</v>
      </c>
      <c r="D112" s="270" t="s">
        <v>402</v>
      </c>
      <c r="E112" s="270" t="s">
        <v>403</v>
      </c>
      <c r="F112" s="270" t="s">
        <v>386</v>
      </c>
      <c r="G112" s="301" t="s">
        <v>404</v>
      </c>
      <c r="H112" s="301" t="s">
        <v>405</v>
      </c>
      <c r="I112" s="270" t="s">
        <v>406</v>
      </c>
      <c r="J112" s="270" t="s">
        <v>407</v>
      </c>
      <c r="K112" s="301" t="s">
        <v>408</v>
      </c>
      <c r="L112" s="358" t="s">
        <v>409</v>
      </c>
      <c r="M112" s="358"/>
      <c r="N112" s="270" t="s">
        <v>408</v>
      </c>
      <c r="O112" s="358" t="s">
        <v>410</v>
      </c>
      <c r="P112" s="358"/>
      <c r="Q112" s="270" t="s">
        <v>411</v>
      </c>
      <c r="R112" s="270" t="s">
        <v>412</v>
      </c>
      <c r="S112" s="271" t="s">
        <v>413</v>
      </c>
      <c r="T112" s="270" t="s">
        <v>410</v>
      </c>
      <c r="U112" s="269"/>
      <c r="V112" s="269"/>
      <c r="W112" s="269"/>
    </row>
    <row r="113" spans="2:23" x14ac:dyDescent="0.25">
      <c r="B113" s="358"/>
      <c r="C113" s="358"/>
      <c r="D113" s="270" t="s">
        <v>416</v>
      </c>
      <c r="E113" s="270" t="s">
        <v>417</v>
      </c>
      <c r="F113" s="270" t="s">
        <v>417</v>
      </c>
      <c r="G113" s="301" t="s">
        <v>418</v>
      </c>
      <c r="H113" s="301" t="s">
        <v>417</v>
      </c>
      <c r="I113" s="270" t="s">
        <v>419</v>
      </c>
      <c r="J113" s="270" t="s">
        <v>419</v>
      </c>
      <c r="K113" s="301" t="s">
        <v>420</v>
      </c>
      <c r="L113" s="270" t="s">
        <v>421</v>
      </c>
      <c r="M113" s="270" t="s">
        <v>338</v>
      </c>
      <c r="N113" s="270" t="s">
        <v>422</v>
      </c>
      <c r="O113" s="273" t="s">
        <v>423</v>
      </c>
      <c r="P113" s="270" t="s">
        <v>423</v>
      </c>
      <c r="Q113" s="270"/>
      <c r="R113" s="270" t="s">
        <v>423</v>
      </c>
      <c r="S113" s="270" t="s">
        <v>423</v>
      </c>
      <c r="T113" s="270" t="s">
        <v>423</v>
      </c>
      <c r="U113" s="269"/>
      <c r="V113" s="269"/>
      <c r="W113" s="269"/>
    </row>
    <row r="114" spans="2:23" x14ac:dyDescent="0.25">
      <c r="B114" s="351">
        <v>5</v>
      </c>
      <c r="C114" s="274" t="s">
        <v>389</v>
      </c>
      <c r="D114" s="275">
        <v>4.8</v>
      </c>
      <c r="E114" s="274">
        <v>0.96899999999999997</v>
      </c>
      <c r="F114" s="274">
        <v>0.43</v>
      </c>
      <c r="G114" s="301">
        <v>29.977799999999998</v>
      </c>
      <c r="H114" s="302">
        <v>0.94317735427316685</v>
      </c>
      <c r="I114" s="274">
        <v>39</v>
      </c>
      <c r="J114" s="276">
        <f>H114*I114</f>
        <v>36.783916816653509</v>
      </c>
      <c r="K114" s="301">
        <v>512</v>
      </c>
      <c r="L114" s="279">
        <f>(D114/E114)*F114*G114*J114*K114</f>
        <v>1202578.9745358664</v>
      </c>
      <c r="M114" s="297">
        <f>(L114*60)/1000000</f>
        <v>72.154738472151976</v>
      </c>
      <c r="N114" s="277">
        <f>K114/1000</f>
        <v>0.51200000000000001</v>
      </c>
      <c r="O114" s="280">
        <f>M114/N114</f>
        <v>140.92722357842183</v>
      </c>
      <c r="P114" s="352">
        <f>SUM(O114:O121)</f>
        <v>168.50438966647667</v>
      </c>
      <c r="Q114" s="303">
        <f>(O114/$P$114)*100</f>
        <v>83.634155678294945</v>
      </c>
      <c r="R114" s="353">
        <f>$T$22/($P$22/P114)</f>
        <v>15.519931762884088</v>
      </c>
      <c r="S114" s="280">
        <f>(Q114/100)*$R$114</f>
        <v>12.979963891735622</v>
      </c>
      <c r="T114" s="356">
        <f>SUM(S114:S121)</f>
        <v>15.519931762884088</v>
      </c>
      <c r="U114" s="269"/>
      <c r="V114" s="269"/>
      <c r="W114" s="269"/>
    </row>
    <row r="115" spans="2:23" x14ac:dyDescent="0.25">
      <c r="B115" s="351"/>
      <c r="C115" s="274" t="s">
        <v>391</v>
      </c>
      <c r="D115" s="275">
        <v>5.2299999999999999E-2</v>
      </c>
      <c r="E115" s="274">
        <v>0.94299999999999995</v>
      </c>
      <c r="F115" s="274">
        <v>0.43</v>
      </c>
      <c r="G115" s="301">
        <v>29.977799999999998</v>
      </c>
      <c r="H115" s="302">
        <v>0.95</v>
      </c>
      <c r="I115" s="274">
        <v>16</v>
      </c>
      <c r="J115" s="276">
        <f t="shared" ref="J115:J118" si="77">H115*I115</f>
        <v>15.2</v>
      </c>
      <c r="K115" s="301">
        <v>512</v>
      </c>
      <c r="L115" s="279">
        <f t="shared" ref="L115:L117" si="78">(D115/E115)*F115*G115*J115*K115</f>
        <v>5563.8031809778149</v>
      </c>
      <c r="M115" s="297">
        <f t="shared" ref="M115:M117" si="79">(L115*60)/1000000</f>
        <v>0.33382819085866888</v>
      </c>
      <c r="N115" s="277">
        <f t="shared" ref="N115:N117" si="80">K115/1000</f>
        <v>0.51200000000000001</v>
      </c>
      <c r="O115" s="280">
        <f t="shared" ref="O115:O117" si="81">M115/N115</f>
        <v>0.6520081852708377</v>
      </c>
      <c r="P115" s="352"/>
      <c r="Q115" s="303">
        <f t="shared" ref="Q115:Q118" si="82">(O115/$P$114)*100</f>
        <v>0.38693839760576421</v>
      </c>
      <c r="R115" s="354"/>
      <c r="S115" s="280">
        <f t="shared" ref="S115:S118" si="83">(Q115/100)*$R$114</f>
        <v>6.0052575272811722E-2</v>
      </c>
      <c r="T115" s="356"/>
      <c r="U115" s="269"/>
      <c r="V115" s="269"/>
      <c r="W115" s="269"/>
    </row>
    <row r="116" spans="2:23" x14ac:dyDescent="0.25">
      <c r="B116" s="351"/>
      <c r="C116" s="274" t="s">
        <v>425</v>
      </c>
      <c r="D116" s="275">
        <v>9.8000000000000004E-2</v>
      </c>
      <c r="E116" s="274">
        <v>0.99539999999999995</v>
      </c>
      <c r="F116" s="274">
        <v>0.78</v>
      </c>
      <c r="G116" s="301">
        <v>29.977799999999998</v>
      </c>
      <c r="H116" s="302">
        <v>0.99999999998909817</v>
      </c>
      <c r="I116" s="274">
        <v>61</v>
      </c>
      <c r="J116" s="276">
        <f t="shared" si="77"/>
        <v>60.999999999334989</v>
      </c>
      <c r="K116" s="301">
        <v>512</v>
      </c>
      <c r="L116" s="279">
        <f t="shared" si="78"/>
        <v>71898.957900988331</v>
      </c>
      <c r="M116" s="297">
        <f t="shared" si="79"/>
        <v>4.3139374740592995</v>
      </c>
      <c r="N116" s="277">
        <f t="shared" si="80"/>
        <v>0.51200000000000001</v>
      </c>
      <c r="O116" s="280">
        <f t="shared" si="81"/>
        <v>8.425659129022069</v>
      </c>
      <c r="P116" s="352"/>
      <c r="Q116" s="303">
        <f t="shared" si="82"/>
        <v>5.000260910531237</v>
      </c>
      <c r="R116" s="354"/>
      <c r="S116" s="280">
        <f t="shared" si="83"/>
        <v>0.77603708128061466</v>
      </c>
      <c r="T116" s="356"/>
      <c r="U116" s="269"/>
      <c r="V116" s="269"/>
      <c r="W116" s="269"/>
    </row>
    <row r="117" spans="2:23" x14ac:dyDescent="0.25">
      <c r="B117" s="351"/>
      <c r="C117" s="274" t="s">
        <v>426</v>
      </c>
      <c r="D117" s="275">
        <v>0.2286</v>
      </c>
      <c r="E117" s="274">
        <v>0.97499999999999998</v>
      </c>
      <c r="F117" s="274">
        <v>0.25</v>
      </c>
      <c r="G117" s="301">
        <v>29.977799999999998</v>
      </c>
      <c r="H117" s="302">
        <v>0.999</v>
      </c>
      <c r="I117" s="274">
        <v>11</v>
      </c>
      <c r="J117" s="276">
        <f t="shared" si="77"/>
        <v>10.989000000000001</v>
      </c>
      <c r="K117" s="301">
        <v>512</v>
      </c>
      <c r="L117" s="279">
        <f t="shared" si="78"/>
        <v>9886.4303529511399</v>
      </c>
      <c r="M117" s="297">
        <f t="shared" si="79"/>
        <v>0.59318582117706842</v>
      </c>
      <c r="N117" s="277">
        <f t="shared" si="80"/>
        <v>0.51200000000000001</v>
      </c>
      <c r="O117" s="280">
        <f t="shared" si="81"/>
        <v>1.1585660569864618</v>
      </c>
      <c r="P117" s="352"/>
      <c r="Q117" s="303">
        <f t="shared" si="82"/>
        <v>0.68755838306623906</v>
      </c>
      <c r="R117" s="354"/>
      <c r="S117" s="280">
        <f t="shared" si="83"/>
        <v>0.10670859188186949</v>
      </c>
      <c r="T117" s="356"/>
      <c r="U117" s="269"/>
      <c r="V117" s="269"/>
      <c r="W117" s="269"/>
    </row>
    <row r="118" spans="2:23" x14ac:dyDescent="0.25">
      <c r="B118" s="351"/>
      <c r="C118" s="274" t="s">
        <v>395</v>
      </c>
      <c r="D118" s="275">
        <v>4.3999999999999997E-2</v>
      </c>
      <c r="E118" s="274">
        <v>0.96789999999999998</v>
      </c>
      <c r="F118" s="274">
        <v>0.43</v>
      </c>
      <c r="G118" s="301">
        <v>29.977799999999998</v>
      </c>
      <c r="H118" s="302">
        <v>1</v>
      </c>
      <c r="I118" s="274">
        <v>64.5</v>
      </c>
      <c r="J118" s="276">
        <f t="shared" si="77"/>
        <v>64.5</v>
      </c>
      <c r="K118" s="301">
        <v>512</v>
      </c>
      <c r="L118" s="279">
        <f t="shared" ref="L118" si="84">(D118/E118)*F118*G118*J118*K118</f>
        <v>19351.742460402929</v>
      </c>
      <c r="M118" s="297">
        <f t="shared" ref="M118" si="85">(L118*60)/1000000</f>
        <v>1.1611045476241757</v>
      </c>
      <c r="N118" s="306">
        <f t="shared" ref="N118" si="86">K118/1000</f>
        <v>0.51200000000000001</v>
      </c>
      <c r="O118" s="280">
        <f t="shared" ref="O118" si="87">M118/N118</f>
        <v>2.2677823195784681</v>
      </c>
      <c r="P118" s="352"/>
      <c r="Q118" s="303">
        <f t="shared" si="82"/>
        <v>1.3458298172926679</v>
      </c>
      <c r="R118" s="354"/>
      <c r="S118" s="280">
        <f t="shared" si="83"/>
        <v>0.20887186928836965</v>
      </c>
      <c r="T118" s="356"/>
      <c r="U118" s="269"/>
      <c r="V118" s="269"/>
      <c r="W118" s="269"/>
    </row>
    <row r="119" spans="2:23" ht="63" x14ac:dyDescent="0.25">
      <c r="B119" s="351"/>
      <c r="C119" s="274"/>
      <c r="D119" s="292" t="s">
        <v>427</v>
      </c>
      <c r="E119" s="292" t="s">
        <v>403</v>
      </c>
      <c r="F119" s="292" t="s">
        <v>428</v>
      </c>
      <c r="G119" s="304" t="s">
        <v>404</v>
      </c>
      <c r="H119" s="301"/>
      <c r="I119" s="270"/>
      <c r="J119" s="270"/>
      <c r="K119" s="304" t="s">
        <v>408</v>
      </c>
      <c r="L119" s="357" t="s">
        <v>409</v>
      </c>
      <c r="M119" s="357"/>
      <c r="N119" s="270" t="s">
        <v>408</v>
      </c>
      <c r="O119" s="260" t="s">
        <v>429</v>
      </c>
      <c r="P119" s="352"/>
      <c r="Q119" s="270" t="s">
        <v>411</v>
      </c>
      <c r="R119" s="354"/>
      <c r="S119" s="271" t="s">
        <v>413</v>
      </c>
      <c r="T119" s="356"/>
      <c r="U119" s="269"/>
      <c r="V119" s="269"/>
      <c r="W119" s="269"/>
    </row>
    <row r="120" spans="2:23" x14ac:dyDescent="0.25">
      <c r="B120" s="351"/>
      <c r="C120" s="270"/>
      <c r="D120" s="292" t="s">
        <v>430</v>
      </c>
      <c r="E120" s="292" t="s">
        <v>417</v>
      </c>
      <c r="F120" s="292" t="s">
        <v>417</v>
      </c>
      <c r="G120" s="304" t="s">
        <v>418</v>
      </c>
      <c r="H120" s="301"/>
      <c r="I120" s="270"/>
      <c r="J120" s="270"/>
      <c r="K120" s="304" t="s">
        <v>420</v>
      </c>
      <c r="L120" s="292" t="s">
        <v>421</v>
      </c>
      <c r="M120" s="292" t="s">
        <v>338</v>
      </c>
      <c r="N120" s="270" t="s">
        <v>422</v>
      </c>
      <c r="O120" s="273" t="s">
        <v>423</v>
      </c>
      <c r="P120" s="352"/>
      <c r="Q120" s="305"/>
      <c r="R120" s="354"/>
      <c r="S120" s="271"/>
      <c r="T120" s="356"/>
      <c r="U120" s="269"/>
      <c r="V120" s="269"/>
      <c r="W120" s="269"/>
    </row>
    <row r="121" spans="2:23" x14ac:dyDescent="0.25">
      <c r="B121" s="351"/>
      <c r="C121" s="274" t="s">
        <v>396</v>
      </c>
      <c r="D121" s="275">
        <v>9.16</v>
      </c>
      <c r="E121" s="274">
        <v>0.96599999999999997</v>
      </c>
      <c r="F121" s="274">
        <v>1</v>
      </c>
      <c r="G121" s="301">
        <v>29.977799999999998</v>
      </c>
      <c r="H121" s="301">
        <v>0.88376068376068395</v>
      </c>
      <c r="I121" s="285"/>
      <c r="J121" s="274"/>
      <c r="K121" s="301">
        <v>512</v>
      </c>
      <c r="L121" s="279">
        <f>(D121/E121)*F121*G121*K121*H121</f>
        <v>128624.21672274779</v>
      </c>
      <c r="M121" s="297">
        <f t="shared" ref="M121" si="88">(L121*60)/1000000</f>
        <v>7.7174530033648674</v>
      </c>
      <c r="N121" s="277">
        <f>K121/1000</f>
        <v>0.51200000000000001</v>
      </c>
      <c r="O121" s="280">
        <f t="shared" ref="O121" si="89">M121/N121</f>
        <v>15.073150397197006</v>
      </c>
      <c r="P121" s="352"/>
      <c r="Q121" s="303">
        <f>(O121/$P$114)*100</f>
        <v>8.9452568132091539</v>
      </c>
      <c r="R121" s="355"/>
      <c r="S121" s="280">
        <f t="shared" ref="S121" si="90">(Q121/100)*$R$114</f>
        <v>1.3882977534248004</v>
      </c>
      <c r="T121" s="356"/>
      <c r="U121" s="269"/>
      <c r="V121" s="269"/>
      <c r="W121" s="269"/>
    </row>
    <row r="122" spans="2:23" x14ac:dyDescent="0.25">
      <c r="U122" s="269"/>
      <c r="V122" s="269"/>
      <c r="W122" s="269"/>
    </row>
    <row r="123" spans="2:23" ht="63" x14ac:dyDescent="0.25">
      <c r="B123" s="358" t="s">
        <v>400</v>
      </c>
      <c r="C123" s="358" t="s">
        <v>401</v>
      </c>
      <c r="D123" s="270" t="s">
        <v>402</v>
      </c>
      <c r="E123" s="270" t="s">
        <v>403</v>
      </c>
      <c r="F123" s="270" t="s">
        <v>386</v>
      </c>
      <c r="G123" s="301" t="s">
        <v>404</v>
      </c>
      <c r="H123" s="301" t="s">
        <v>405</v>
      </c>
      <c r="I123" s="270" t="s">
        <v>406</v>
      </c>
      <c r="J123" s="270" t="s">
        <v>407</v>
      </c>
      <c r="K123" s="301" t="s">
        <v>408</v>
      </c>
      <c r="L123" s="358" t="s">
        <v>409</v>
      </c>
      <c r="M123" s="358"/>
      <c r="N123" s="270" t="s">
        <v>408</v>
      </c>
      <c r="O123" s="358" t="s">
        <v>410</v>
      </c>
      <c r="P123" s="358"/>
      <c r="Q123" s="270" t="s">
        <v>411</v>
      </c>
      <c r="R123" s="270" t="s">
        <v>412</v>
      </c>
      <c r="S123" s="271" t="s">
        <v>413</v>
      </c>
      <c r="T123" s="270" t="s">
        <v>410</v>
      </c>
      <c r="U123" s="269"/>
      <c r="V123" s="269"/>
      <c r="W123" s="269"/>
    </row>
    <row r="124" spans="2:23" x14ac:dyDescent="0.25">
      <c r="B124" s="358"/>
      <c r="C124" s="358"/>
      <c r="D124" s="270" t="s">
        <v>416</v>
      </c>
      <c r="E124" s="270" t="s">
        <v>417</v>
      </c>
      <c r="F124" s="270" t="s">
        <v>417</v>
      </c>
      <c r="G124" s="301" t="s">
        <v>418</v>
      </c>
      <c r="H124" s="301" t="s">
        <v>417</v>
      </c>
      <c r="I124" s="270" t="s">
        <v>419</v>
      </c>
      <c r="J124" s="270" t="s">
        <v>419</v>
      </c>
      <c r="K124" s="301" t="s">
        <v>420</v>
      </c>
      <c r="L124" s="270" t="s">
        <v>421</v>
      </c>
      <c r="M124" s="270" t="s">
        <v>338</v>
      </c>
      <c r="N124" s="270" t="s">
        <v>422</v>
      </c>
      <c r="O124" s="273" t="s">
        <v>423</v>
      </c>
      <c r="P124" s="270" t="s">
        <v>423</v>
      </c>
      <c r="Q124" s="270"/>
      <c r="R124" s="270" t="s">
        <v>423</v>
      </c>
      <c r="S124" s="270" t="s">
        <v>423</v>
      </c>
      <c r="T124" s="270" t="s">
        <v>423</v>
      </c>
      <c r="U124" s="269"/>
      <c r="V124" s="269"/>
      <c r="W124" s="269"/>
    </row>
    <row r="125" spans="2:23" x14ac:dyDescent="0.25">
      <c r="B125" s="351">
        <v>6</v>
      </c>
      <c r="C125" s="274" t="s">
        <v>389</v>
      </c>
      <c r="D125" s="275">
        <v>4.8</v>
      </c>
      <c r="E125" s="274">
        <v>0.96899999999999997</v>
      </c>
      <c r="F125" s="274">
        <v>0.43</v>
      </c>
      <c r="G125" s="301">
        <v>30.81</v>
      </c>
      <c r="H125" s="302">
        <v>0.97247322185499863</v>
      </c>
      <c r="I125" s="274">
        <v>39</v>
      </c>
      <c r="J125" s="276">
        <f>H125*I125</f>
        <v>37.926455652344949</v>
      </c>
      <c r="K125" s="301">
        <v>557.07600000000002</v>
      </c>
      <c r="L125" s="279">
        <f>(D125/E125)*F125*G125*J125*K125</f>
        <v>1386546.1241268383</v>
      </c>
      <c r="M125" s="297">
        <f>(L125*60)/1000000</f>
        <v>83.192767447610308</v>
      </c>
      <c r="N125" s="277">
        <f>K125/1000</f>
        <v>0.55707600000000002</v>
      </c>
      <c r="O125" s="280">
        <f>M125/N125</f>
        <v>149.33827242173476</v>
      </c>
      <c r="P125" s="352">
        <f>SUM(O125:O132)</f>
        <v>175.74305039187155</v>
      </c>
      <c r="Q125" s="303">
        <f>(O125/$P$114)*100</f>
        <v>88.625746022001152</v>
      </c>
      <c r="R125" s="353">
        <f>$T$22/($P$22/P125)</f>
        <v>16.186641518844517</v>
      </c>
      <c r="S125" s="280">
        <f>(Q125/100)*$R$114</f>
        <v>13.754655306961538</v>
      </c>
      <c r="T125" s="356">
        <f>SUM(S125:S132)</f>
        <v>16.186641518844517</v>
      </c>
      <c r="U125" s="269"/>
      <c r="V125" s="269"/>
      <c r="W125" s="269"/>
    </row>
    <row r="126" spans="2:23" x14ac:dyDescent="0.25">
      <c r="B126" s="351"/>
      <c r="C126" s="274" t="s">
        <v>391</v>
      </c>
      <c r="D126" s="275">
        <v>5.2299999999999999E-2</v>
      </c>
      <c r="E126" s="274">
        <v>0.94299999999999995</v>
      </c>
      <c r="F126" s="274">
        <v>0.43</v>
      </c>
      <c r="G126" s="301">
        <v>30.81</v>
      </c>
      <c r="H126" s="302">
        <v>0.96051668460710438</v>
      </c>
      <c r="I126" s="274">
        <v>16</v>
      </c>
      <c r="J126" s="276">
        <f t="shared" ref="J126:J129" si="91">H126*I126</f>
        <v>15.36826695371367</v>
      </c>
      <c r="K126" s="301">
        <v>557.07600000000002</v>
      </c>
      <c r="L126" s="279">
        <f t="shared" ref="L126:L128" si="92">(D126/E126)*F126*G126*J126*K126</f>
        <v>6290.562684448566</v>
      </c>
      <c r="M126" s="297">
        <f t="shared" ref="M126:M128" si="93">(L126*60)/1000000</f>
        <v>0.37743376106691395</v>
      </c>
      <c r="N126" s="277">
        <f t="shared" ref="N126:N128" si="94">K126/1000</f>
        <v>0.55707600000000002</v>
      </c>
      <c r="O126" s="280">
        <f t="shared" ref="O126:O128" si="95">M126/N126</f>
        <v>0.67752651535322639</v>
      </c>
      <c r="P126" s="352"/>
      <c r="Q126" s="303">
        <f t="shared" ref="Q126:Q129" si="96">(O126/$P$114)*100</f>
        <v>0.40208241262691435</v>
      </c>
      <c r="R126" s="354"/>
      <c r="S126" s="280">
        <f t="shared" ref="S126:S129" si="97">(Q126/100)*$R$114</f>
        <v>6.2402916070255145E-2</v>
      </c>
      <c r="T126" s="356"/>
      <c r="U126" s="269"/>
      <c r="V126" s="269"/>
      <c r="W126" s="269"/>
    </row>
    <row r="127" spans="2:23" x14ac:dyDescent="0.25">
      <c r="B127" s="351"/>
      <c r="C127" s="274" t="s">
        <v>425</v>
      </c>
      <c r="D127" s="275">
        <v>9.8000000000000004E-2</v>
      </c>
      <c r="E127" s="274">
        <v>0.99539999999999995</v>
      </c>
      <c r="F127" s="274">
        <v>0.78</v>
      </c>
      <c r="G127" s="301">
        <v>30.81</v>
      </c>
      <c r="H127" s="302">
        <v>1</v>
      </c>
      <c r="I127" s="274">
        <v>61</v>
      </c>
      <c r="J127" s="276">
        <f t="shared" si="91"/>
        <v>61</v>
      </c>
      <c r="K127" s="301">
        <v>557.07600000000002</v>
      </c>
      <c r="L127" s="279">
        <f t="shared" si="92"/>
        <v>80400.550776000004</v>
      </c>
      <c r="M127" s="297">
        <f t="shared" si="93"/>
        <v>4.8240330465600003</v>
      </c>
      <c r="N127" s="277">
        <f t="shared" si="94"/>
        <v>0.55707600000000002</v>
      </c>
      <c r="O127" s="280">
        <f t="shared" si="95"/>
        <v>8.6595600000000008</v>
      </c>
      <c r="P127" s="352"/>
      <c r="Q127" s="303">
        <f t="shared" si="96"/>
        <v>5.1390708676135981</v>
      </c>
      <c r="R127" s="354"/>
      <c r="S127" s="280">
        <f t="shared" si="97"/>
        <v>0.79758029189988566</v>
      </c>
      <c r="T127" s="356"/>
      <c r="U127" s="269"/>
      <c r="V127" s="269"/>
      <c r="W127" s="269"/>
    </row>
    <row r="128" spans="2:23" x14ac:dyDescent="0.25">
      <c r="B128" s="351"/>
      <c r="C128" s="274" t="s">
        <v>426</v>
      </c>
      <c r="D128" s="275">
        <v>0.2286</v>
      </c>
      <c r="E128" s="274">
        <v>0.97499999999999998</v>
      </c>
      <c r="F128" s="274">
        <v>0.25</v>
      </c>
      <c r="G128" s="301">
        <v>30.81</v>
      </c>
      <c r="H128" s="302">
        <v>0.99976426472959434</v>
      </c>
      <c r="I128" s="274">
        <v>11</v>
      </c>
      <c r="J128" s="276">
        <f t="shared" si="91"/>
        <v>10.997406912025538</v>
      </c>
      <c r="K128" s="301">
        <v>557.07600000000002</v>
      </c>
      <c r="L128" s="279">
        <f t="shared" si="92"/>
        <v>11063.895380492737</v>
      </c>
      <c r="M128" s="297">
        <f t="shared" si="93"/>
        <v>0.66383372282956421</v>
      </c>
      <c r="N128" s="277">
        <f t="shared" si="94"/>
        <v>0.55707600000000002</v>
      </c>
      <c r="O128" s="280">
        <f t="shared" si="95"/>
        <v>1.1916394223222042</v>
      </c>
      <c r="P128" s="352"/>
      <c r="Q128" s="303">
        <f t="shared" si="96"/>
        <v>0.70718598173070413</v>
      </c>
      <c r="R128" s="354"/>
      <c r="S128" s="280">
        <f t="shared" si="97"/>
        <v>0.10975478180128721</v>
      </c>
      <c r="T128" s="356"/>
      <c r="U128" s="269"/>
      <c r="V128" s="269"/>
      <c r="W128" s="269"/>
    </row>
    <row r="129" spans="2:23" x14ac:dyDescent="0.25">
      <c r="B129" s="351"/>
      <c r="C129" s="274" t="s">
        <v>395</v>
      </c>
      <c r="D129" s="275">
        <v>4.3999999999999997E-2</v>
      </c>
      <c r="E129" s="274">
        <v>0.96789999999999998</v>
      </c>
      <c r="F129" s="274">
        <v>0.43</v>
      </c>
      <c r="G129" s="301">
        <v>30.81</v>
      </c>
      <c r="H129" s="302"/>
      <c r="I129" s="274">
        <v>64.5</v>
      </c>
      <c r="J129" s="276">
        <f t="shared" si="91"/>
        <v>0</v>
      </c>
      <c r="K129" s="301">
        <v>557.07600000000002</v>
      </c>
      <c r="L129" s="279">
        <f t="shared" ref="L129" si="98">(D129/E129)*F129*G129*J129*K129</f>
        <v>0</v>
      </c>
      <c r="M129" s="297">
        <f t="shared" ref="M129" si="99">(L129*60)/1000000</f>
        <v>0</v>
      </c>
      <c r="N129" s="306">
        <f t="shared" ref="N129" si="100">K129/1000</f>
        <v>0.55707600000000002</v>
      </c>
      <c r="O129" s="280">
        <f t="shared" ref="O129" si="101">M129/N129</f>
        <v>0</v>
      </c>
      <c r="P129" s="352"/>
      <c r="Q129" s="303">
        <f t="shared" si="96"/>
        <v>0</v>
      </c>
      <c r="R129" s="354"/>
      <c r="S129" s="280">
        <f t="shared" si="97"/>
        <v>0</v>
      </c>
      <c r="T129" s="356"/>
      <c r="U129" s="269"/>
      <c r="V129" s="269"/>
      <c r="W129" s="269"/>
    </row>
    <row r="130" spans="2:23" ht="63" x14ac:dyDescent="0.25">
      <c r="B130" s="351"/>
      <c r="C130" s="274"/>
      <c r="D130" s="292" t="s">
        <v>427</v>
      </c>
      <c r="E130" s="292" t="s">
        <v>403</v>
      </c>
      <c r="F130" s="292" t="s">
        <v>428</v>
      </c>
      <c r="G130" s="304" t="s">
        <v>404</v>
      </c>
      <c r="H130" s="301"/>
      <c r="I130" s="270"/>
      <c r="J130" s="270"/>
      <c r="K130" s="304" t="s">
        <v>408</v>
      </c>
      <c r="L130" s="357" t="s">
        <v>409</v>
      </c>
      <c r="M130" s="357"/>
      <c r="N130" s="270" t="s">
        <v>408</v>
      </c>
      <c r="O130" s="260" t="s">
        <v>429</v>
      </c>
      <c r="P130" s="352"/>
      <c r="Q130" s="270" t="s">
        <v>411</v>
      </c>
      <c r="R130" s="354"/>
      <c r="S130" s="271" t="s">
        <v>413</v>
      </c>
      <c r="T130" s="356"/>
      <c r="U130" s="269"/>
      <c r="V130" s="269"/>
      <c r="W130" s="269"/>
    </row>
    <row r="131" spans="2:23" x14ac:dyDescent="0.25">
      <c r="B131" s="351"/>
      <c r="C131" s="270"/>
      <c r="D131" s="292" t="s">
        <v>430</v>
      </c>
      <c r="E131" s="292" t="s">
        <v>417</v>
      </c>
      <c r="F131" s="292" t="s">
        <v>417</v>
      </c>
      <c r="G131" s="304" t="s">
        <v>418</v>
      </c>
      <c r="H131" s="301"/>
      <c r="I131" s="270"/>
      <c r="J131" s="270"/>
      <c r="K131" s="304" t="s">
        <v>420</v>
      </c>
      <c r="L131" s="292" t="s">
        <v>421</v>
      </c>
      <c r="M131" s="292" t="s">
        <v>338</v>
      </c>
      <c r="N131" s="270" t="s">
        <v>422</v>
      </c>
      <c r="O131" s="273" t="s">
        <v>423</v>
      </c>
      <c r="P131" s="352"/>
      <c r="Q131" s="305"/>
      <c r="R131" s="354"/>
      <c r="S131" s="271"/>
      <c r="T131" s="356"/>
      <c r="U131" s="269"/>
      <c r="V131" s="269"/>
      <c r="W131" s="269"/>
    </row>
    <row r="132" spans="2:23" x14ac:dyDescent="0.25">
      <c r="B132" s="351"/>
      <c r="C132" s="274" t="s">
        <v>396</v>
      </c>
      <c r="D132" s="275">
        <v>9.16</v>
      </c>
      <c r="E132" s="274">
        <v>0.96599999999999997</v>
      </c>
      <c r="F132" s="274">
        <v>1</v>
      </c>
      <c r="G132" s="301">
        <v>30.81</v>
      </c>
      <c r="H132" s="301">
        <v>0.90569343065693442</v>
      </c>
      <c r="I132" s="285"/>
      <c r="J132" s="274"/>
      <c r="K132" s="301">
        <v>557.07600000000002</v>
      </c>
      <c r="L132" s="279">
        <f>(D132/E132)*F132*G132*K132*H132</f>
        <v>147402.79270059068</v>
      </c>
      <c r="M132" s="297">
        <f t="shared" ref="M132" si="102">(L132*60)/1000000</f>
        <v>8.844167562035441</v>
      </c>
      <c r="N132" s="277">
        <f>K132/1000</f>
        <v>0.55707600000000002</v>
      </c>
      <c r="O132" s="280">
        <f t="shared" ref="O132" si="103">M132/N132</f>
        <v>15.876052032461352</v>
      </c>
      <c r="P132" s="352"/>
      <c r="Q132" s="303">
        <f>(O132/$P$114)*100</f>
        <v>9.4217438868418011</v>
      </c>
      <c r="R132" s="355"/>
      <c r="S132" s="280">
        <f t="shared" ref="S132" si="104">(Q132/100)*$R$114</f>
        <v>1.4622482221115505</v>
      </c>
      <c r="T132" s="356"/>
      <c r="U132" s="269"/>
      <c r="V132" s="269"/>
      <c r="W132" s="269"/>
    </row>
    <row r="133" spans="2:23" x14ac:dyDescent="0.25">
      <c r="U133" s="269"/>
      <c r="V133" s="269"/>
      <c r="W133" s="269"/>
    </row>
    <row r="134" spans="2:23" ht="63" x14ac:dyDescent="0.25">
      <c r="B134" s="358" t="s">
        <v>400</v>
      </c>
      <c r="C134" s="358" t="s">
        <v>401</v>
      </c>
      <c r="D134" s="270" t="s">
        <v>402</v>
      </c>
      <c r="E134" s="270" t="s">
        <v>403</v>
      </c>
      <c r="F134" s="270" t="s">
        <v>386</v>
      </c>
      <c r="G134" s="301" t="s">
        <v>404</v>
      </c>
      <c r="H134" s="301" t="s">
        <v>405</v>
      </c>
      <c r="I134" s="270" t="s">
        <v>406</v>
      </c>
      <c r="J134" s="270" t="s">
        <v>407</v>
      </c>
      <c r="K134" s="301" t="s">
        <v>408</v>
      </c>
      <c r="L134" s="358" t="s">
        <v>409</v>
      </c>
      <c r="M134" s="358"/>
      <c r="N134" s="270" t="s">
        <v>408</v>
      </c>
      <c r="O134" s="358" t="s">
        <v>410</v>
      </c>
      <c r="P134" s="358"/>
      <c r="Q134" s="270" t="s">
        <v>411</v>
      </c>
      <c r="R134" s="270" t="s">
        <v>412</v>
      </c>
      <c r="S134" s="271" t="s">
        <v>413</v>
      </c>
      <c r="T134" s="270" t="s">
        <v>410</v>
      </c>
      <c r="U134" s="269"/>
      <c r="V134" s="269"/>
      <c r="W134" s="269"/>
    </row>
    <row r="135" spans="2:23" x14ac:dyDescent="0.25">
      <c r="B135" s="358"/>
      <c r="C135" s="358"/>
      <c r="D135" s="270" t="s">
        <v>416</v>
      </c>
      <c r="E135" s="270" t="s">
        <v>417</v>
      </c>
      <c r="F135" s="270" t="s">
        <v>417</v>
      </c>
      <c r="G135" s="301" t="s">
        <v>418</v>
      </c>
      <c r="H135" s="301" t="s">
        <v>417</v>
      </c>
      <c r="I135" s="270" t="s">
        <v>419</v>
      </c>
      <c r="J135" s="270" t="s">
        <v>419</v>
      </c>
      <c r="K135" s="301" t="s">
        <v>420</v>
      </c>
      <c r="L135" s="270" t="s">
        <v>421</v>
      </c>
      <c r="M135" s="270" t="s">
        <v>338</v>
      </c>
      <c r="N135" s="270" t="s">
        <v>422</v>
      </c>
      <c r="O135" s="273" t="s">
        <v>423</v>
      </c>
      <c r="P135" s="270" t="s">
        <v>423</v>
      </c>
      <c r="Q135" s="270"/>
      <c r="R135" s="270" t="s">
        <v>423</v>
      </c>
      <c r="S135" s="270" t="s">
        <v>423</v>
      </c>
      <c r="T135" s="270" t="s">
        <v>423</v>
      </c>
      <c r="U135" s="269"/>
      <c r="V135" s="269"/>
      <c r="W135" s="269"/>
    </row>
    <row r="136" spans="2:23" x14ac:dyDescent="0.25">
      <c r="B136" s="351">
        <v>9</v>
      </c>
      <c r="C136" s="274" t="s">
        <v>389</v>
      </c>
      <c r="D136" s="275">
        <v>4.8</v>
      </c>
      <c r="E136" s="274">
        <v>0.96899999999999997</v>
      </c>
      <c r="F136" s="274">
        <v>0.43</v>
      </c>
      <c r="G136" s="301">
        <v>33.130000000000003</v>
      </c>
      <c r="H136" s="302">
        <v>0.99697265014854175</v>
      </c>
      <c r="I136" s="274">
        <v>39</v>
      </c>
      <c r="J136" s="276">
        <f>H136*I136</f>
        <v>38.88193335579313</v>
      </c>
      <c r="K136" s="301">
        <v>738.90179620578283</v>
      </c>
      <c r="L136" s="279">
        <f>(D136/E136)*F136*G136*J136*K136</f>
        <v>2027411.593492006</v>
      </c>
      <c r="M136" s="297">
        <f>(L136*60)/1000000</f>
        <v>121.64469560952035</v>
      </c>
      <c r="N136" s="277">
        <f>K136/1000</f>
        <v>0.73890179620578278</v>
      </c>
      <c r="O136" s="280">
        <f>M136/N136</f>
        <v>164.62904303949281</v>
      </c>
      <c r="P136" s="352">
        <f>SUM(O136:O143)</f>
        <v>195.69141121414251</v>
      </c>
      <c r="Q136" s="303">
        <f>(O136/$P$148)*100</f>
        <v>81.411749696580642</v>
      </c>
      <c r="R136" s="353">
        <f>$T$22/($P$22/P136)</f>
        <v>18.023965753280343</v>
      </c>
      <c r="S136" s="280">
        <f>(Q136/100)*$R$148</f>
        <v>15.162996757645598</v>
      </c>
      <c r="T136" s="356">
        <f>SUM(S136:S143)</f>
        <v>18.023965753280343</v>
      </c>
      <c r="U136" s="269"/>
      <c r="V136" s="269"/>
      <c r="W136" s="269"/>
    </row>
    <row r="137" spans="2:23" x14ac:dyDescent="0.25">
      <c r="B137" s="351"/>
      <c r="C137" s="274" t="s">
        <v>391</v>
      </c>
      <c r="D137" s="275">
        <v>5.2299999999999999E-2</v>
      </c>
      <c r="E137" s="274">
        <v>0.94299999999999995</v>
      </c>
      <c r="F137" s="274">
        <v>0.43</v>
      </c>
      <c r="G137" s="301">
        <v>33.130000000000003</v>
      </c>
      <c r="H137" s="302">
        <v>0.97633055344958286</v>
      </c>
      <c r="I137" s="274">
        <v>16</v>
      </c>
      <c r="J137" s="276">
        <f t="shared" ref="J137:J140" si="105">H137*I137</f>
        <v>15.621288855193326</v>
      </c>
      <c r="K137" s="301">
        <v>738.90179620578283</v>
      </c>
      <c r="L137" s="279">
        <f t="shared" ref="L137:L139" si="106">(D137/E137)*F137*G137*J137*K137</f>
        <v>9119.7613349181011</v>
      </c>
      <c r="M137" s="297">
        <f t="shared" ref="M137:M139" si="107">(L137*60)/1000000</f>
        <v>0.54718568009508606</v>
      </c>
      <c r="N137" s="277">
        <f t="shared" ref="N137:N139" si="108">K137/1000</f>
        <v>0.73890179620578278</v>
      </c>
      <c r="O137" s="280">
        <f t="shared" ref="O137:O139" si="109">M137/N137</f>
        <v>0.74053911210508938</v>
      </c>
      <c r="P137" s="352"/>
      <c r="Q137" s="303">
        <f t="shared" ref="Q137:Q140" si="110">(O137/$P$148)*100</f>
        <v>0.36620868178626903</v>
      </c>
      <c r="R137" s="354"/>
      <c r="S137" s="280">
        <f t="shared" ref="S137:S140" si="111">(Q137/100)*$R$148</f>
        <v>6.8206629574257743E-2</v>
      </c>
      <c r="T137" s="356"/>
      <c r="U137" s="269"/>
      <c r="V137" s="269"/>
      <c r="W137" s="269"/>
    </row>
    <row r="138" spans="2:23" x14ac:dyDescent="0.25">
      <c r="B138" s="351"/>
      <c r="C138" s="274" t="s">
        <v>425</v>
      </c>
      <c r="D138" s="275">
        <v>9.8000000000000004E-2</v>
      </c>
      <c r="E138" s="274">
        <v>0.99539999999999995</v>
      </c>
      <c r="F138" s="274">
        <v>0.78</v>
      </c>
      <c r="G138" s="301">
        <v>33.130000000000003</v>
      </c>
      <c r="H138" s="302">
        <v>1</v>
      </c>
      <c r="I138" s="274">
        <v>61</v>
      </c>
      <c r="J138" s="276">
        <f t="shared" si="105"/>
        <v>61</v>
      </c>
      <c r="K138" s="301">
        <v>738.90179620578283</v>
      </c>
      <c r="L138" s="279">
        <f t="shared" si="106"/>
        <v>114672.96323844721</v>
      </c>
      <c r="M138" s="297">
        <f t="shared" si="107"/>
        <v>6.8803777943068321</v>
      </c>
      <c r="N138" s="277">
        <f t="shared" si="108"/>
        <v>0.73890179620578278</v>
      </c>
      <c r="O138" s="280">
        <f t="shared" si="109"/>
        <v>9.3116268354430414</v>
      </c>
      <c r="P138" s="352"/>
      <c r="Q138" s="303">
        <f t="shared" si="110"/>
        <v>4.6047515019157199</v>
      </c>
      <c r="R138" s="354"/>
      <c r="S138" s="280">
        <f t="shared" si="111"/>
        <v>0.85763826908936136</v>
      </c>
      <c r="T138" s="356"/>
      <c r="U138" s="269"/>
      <c r="V138" s="269"/>
      <c r="W138" s="269"/>
    </row>
    <row r="139" spans="2:23" x14ac:dyDescent="0.25">
      <c r="B139" s="351"/>
      <c r="C139" s="274" t="s">
        <v>426</v>
      </c>
      <c r="D139" s="275">
        <v>0.2286</v>
      </c>
      <c r="E139" s="274">
        <v>0.97499999999999998</v>
      </c>
      <c r="F139" s="274">
        <v>0.25</v>
      </c>
      <c r="G139" s="301">
        <v>33.130000000000003</v>
      </c>
      <c r="H139" s="302">
        <v>0.99979978808373682</v>
      </c>
      <c r="I139" s="274">
        <v>11</v>
      </c>
      <c r="J139" s="276">
        <f t="shared" si="105"/>
        <v>10.997797668921105</v>
      </c>
      <c r="K139" s="301">
        <v>738.90179620578283</v>
      </c>
      <c r="L139" s="279">
        <f t="shared" si="106"/>
        <v>15780.672348084274</v>
      </c>
      <c r="M139" s="297">
        <f t="shared" si="107"/>
        <v>0.94684034088505642</v>
      </c>
      <c r="N139" s="277">
        <f t="shared" si="108"/>
        <v>0.73890179620578278</v>
      </c>
      <c r="O139" s="280">
        <f t="shared" si="109"/>
        <v>1.2814156708604929</v>
      </c>
      <c r="P139" s="352"/>
      <c r="Q139" s="303">
        <f t="shared" si="110"/>
        <v>0.63368097103221677</v>
      </c>
      <c r="R139" s="354"/>
      <c r="S139" s="280">
        <f t="shared" si="111"/>
        <v>0.11802353523851093</v>
      </c>
      <c r="T139" s="356"/>
      <c r="U139" s="269"/>
      <c r="V139" s="269"/>
      <c r="W139" s="269"/>
    </row>
    <row r="140" spans="2:23" x14ac:dyDescent="0.25">
      <c r="B140" s="351"/>
      <c r="C140" s="274" t="s">
        <v>395</v>
      </c>
      <c r="D140" s="275">
        <v>4.3999999999999997E-2</v>
      </c>
      <c r="E140" s="274">
        <v>0.96789999999999998</v>
      </c>
      <c r="F140" s="274">
        <v>0.43</v>
      </c>
      <c r="G140" s="301">
        <v>33.130000000000003</v>
      </c>
      <c r="H140" s="302">
        <v>0.99999998081015595</v>
      </c>
      <c r="I140" s="274">
        <v>64.5</v>
      </c>
      <c r="J140" s="276">
        <f t="shared" si="105"/>
        <v>64.499998762255061</v>
      </c>
      <c r="K140" s="301">
        <v>738.90179620578283</v>
      </c>
      <c r="L140" s="279">
        <f t="shared" ref="L140" si="112">(D140/E140)*F140*G140*J140*K140</f>
        <v>30864.447468193248</v>
      </c>
      <c r="M140" s="297">
        <f t="shared" ref="M140" si="113">(L140*60)/1000000</f>
        <v>1.851866848091595</v>
      </c>
      <c r="N140" s="306">
        <f t="shared" ref="N140" si="114">K140/1000</f>
        <v>0.73890179620578278</v>
      </c>
      <c r="O140" s="280">
        <f t="shared" ref="O140" si="115">M140/N140</f>
        <v>2.506242179408444</v>
      </c>
      <c r="P140" s="352"/>
      <c r="Q140" s="303">
        <f t="shared" si="110"/>
        <v>1.2393776773644154</v>
      </c>
      <c r="R140" s="354"/>
      <c r="S140" s="280">
        <f t="shared" si="111"/>
        <v>0.23083498111040193</v>
      </c>
      <c r="T140" s="356"/>
      <c r="U140" s="269"/>
      <c r="V140" s="269"/>
      <c r="W140" s="269"/>
    </row>
    <row r="141" spans="2:23" ht="63" x14ac:dyDescent="0.25">
      <c r="B141" s="351"/>
      <c r="C141" s="274"/>
      <c r="D141" s="292" t="s">
        <v>427</v>
      </c>
      <c r="E141" s="292" t="s">
        <v>403</v>
      </c>
      <c r="F141" s="292" t="s">
        <v>428</v>
      </c>
      <c r="G141" s="304" t="s">
        <v>404</v>
      </c>
      <c r="H141" s="301"/>
      <c r="I141" s="270"/>
      <c r="J141" s="270"/>
      <c r="K141" s="304" t="s">
        <v>408</v>
      </c>
      <c r="L141" s="357" t="s">
        <v>409</v>
      </c>
      <c r="M141" s="357"/>
      <c r="N141" s="270" t="s">
        <v>408</v>
      </c>
      <c r="O141" s="260" t="s">
        <v>429</v>
      </c>
      <c r="P141" s="352"/>
      <c r="Q141" s="270" t="s">
        <v>411</v>
      </c>
      <c r="R141" s="354"/>
      <c r="S141" s="271" t="s">
        <v>413</v>
      </c>
      <c r="T141" s="356"/>
      <c r="U141" s="269"/>
      <c r="V141" s="269"/>
      <c r="W141" s="269"/>
    </row>
    <row r="142" spans="2:23" x14ac:dyDescent="0.25">
      <c r="B142" s="351"/>
      <c r="C142" s="270"/>
      <c r="D142" s="292" t="s">
        <v>430</v>
      </c>
      <c r="E142" s="292" t="s">
        <v>417</v>
      </c>
      <c r="F142" s="292" t="s">
        <v>417</v>
      </c>
      <c r="G142" s="304" t="s">
        <v>418</v>
      </c>
      <c r="H142" s="301"/>
      <c r="I142" s="270"/>
      <c r="J142" s="270"/>
      <c r="K142" s="304" t="s">
        <v>420</v>
      </c>
      <c r="L142" s="292" t="s">
        <v>421</v>
      </c>
      <c r="M142" s="292" t="s">
        <v>338</v>
      </c>
      <c r="N142" s="270" t="s">
        <v>422</v>
      </c>
      <c r="O142" s="273" t="s">
        <v>423</v>
      </c>
      <c r="P142" s="352"/>
      <c r="Q142" s="305"/>
      <c r="R142" s="354"/>
      <c r="S142" s="271"/>
      <c r="T142" s="356"/>
      <c r="U142" s="269"/>
      <c r="V142" s="269"/>
      <c r="W142" s="269"/>
    </row>
    <row r="143" spans="2:23" x14ac:dyDescent="0.25">
      <c r="B143" s="351"/>
      <c r="C143" s="274" t="s">
        <v>396</v>
      </c>
      <c r="D143" s="275">
        <v>9.16</v>
      </c>
      <c r="E143" s="274">
        <v>0.96599999999999997</v>
      </c>
      <c r="F143" s="274">
        <v>1</v>
      </c>
      <c r="G143" s="301">
        <v>33.130000000000003</v>
      </c>
      <c r="H143" s="301">
        <v>0.91370558375634525</v>
      </c>
      <c r="I143" s="285"/>
      <c r="J143" s="274"/>
      <c r="K143" s="301">
        <v>738.90179620578283</v>
      </c>
      <c r="L143" s="279">
        <f>(D143/E143)*F143*G143*K143*H143</f>
        <v>212096.14958792378</v>
      </c>
      <c r="M143" s="297">
        <f t="shared" ref="M143" si="116">(L143*60)/1000000</f>
        <v>12.725768975275427</v>
      </c>
      <c r="N143" s="277">
        <f>K143/1000</f>
        <v>0.73890179620578278</v>
      </c>
      <c r="O143" s="280">
        <f t="shared" ref="O143" si="117">M143/N143</f>
        <v>17.222544376832619</v>
      </c>
      <c r="P143" s="352"/>
      <c r="Q143" s="303">
        <f>(O143/$P$148)*100</f>
        <v>8.5168293884123241</v>
      </c>
      <c r="R143" s="355"/>
      <c r="S143" s="280">
        <f>(Q143/100)*$R$148</f>
        <v>1.5862655806222135</v>
      </c>
      <c r="T143" s="356"/>
      <c r="U143" s="269"/>
      <c r="V143" s="269"/>
      <c r="W143" s="269"/>
    </row>
    <row r="144" spans="2:23" x14ac:dyDescent="0.25">
      <c r="U144" s="269"/>
      <c r="V144" s="269"/>
      <c r="W144" s="269"/>
    </row>
    <row r="145" spans="2:23" x14ac:dyDescent="0.25">
      <c r="U145" s="269"/>
      <c r="V145" s="269"/>
      <c r="W145" s="269"/>
    </row>
    <row r="146" spans="2:23" ht="63" x14ac:dyDescent="0.25">
      <c r="B146" s="358" t="s">
        <v>400</v>
      </c>
      <c r="C146" s="358" t="s">
        <v>401</v>
      </c>
      <c r="D146" s="270" t="s">
        <v>402</v>
      </c>
      <c r="E146" s="270" t="s">
        <v>403</v>
      </c>
      <c r="F146" s="270" t="s">
        <v>386</v>
      </c>
      <c r="G146" s="301" t="s">
        <v>404</v>
      </c>
      <c r="H146" s="301" t="s">
        <v>405</v>
      </c>
      <c r="I146" s="270" t="s">
        <v>406</v>
      </c>
      <c r="J146" s="270" t="s">
        <v>407</v>
      </c>
      <c r="K146" s="301" t="s">
        <v>408</v>
      </c>
      <c r="L146" s="358" t="s">
        <v>409</v>
      </c>
      <c r="M146" s="358"/>
      <c r="N146" s="270" t="s">
        <v>408</v>
      </c>
      <c r="O146" s="358" t="s">
        <v>410</v>
      </c>
      <c r="P146" s="358"/>
      <c r="Q146" s="270" t="s">
        <v>411</v>
      </c>
      <c r="R146" s="270" t="s">
        <v>412</v>
      </c>
      <c r="S146" s="271" t="s">
        <v>413</v>
      </c>
      <c r="T146" s="270" t="s">
        <v>410</v>
      </c>
      <c r="U146" s="269"/>
      <c r="V146" s="269"/>
      <c r="W146" s="269"/>
    </row>
    <row r="147" spans="2:23" x14ac:dyDescent="0.25">
      <c r="B147" s="358"/>
      <c r="C147" s="358"/>
      <c r="D147" s="270" t="s">
        <v>416</v>
      </c>
      <c r="E147" s="270" t="s">
        <v>417</v>
      </c>
      <c r="F147" s="270" t="s">
        <v>417</v>
      </c>
      <c r="G147" s="301" t="s">
        <v>418</v>
      </c>
      <c r="H147" s="301" t="s">
        <v>417</v>
      </c>
      <c r="I147" s="270" t="s">
        <v>419</v>
      </c>
      <c r="J147" s="270" t="s">
        <v>419</v>
      </c>
      <c r="K147" s="301" t="s">
        <v>420</v>
      </c>
      <c r="L147" s="270" t="s">
        <v>421</v>
      </c>
      <c r="M147" s="270" t="s">
        <v>338</v>
      </c>
      <c r="N147" s="270" t="s">
        <v>422</v>
      </c>
      <c r="O147" s="273" t="s">
        <v>423</v>
      </c>
      <c r="P147" s="270" t="s">
        <v>423</v>
      </c>
      <c r="Q147" s="270"/>
      <c r="R147" s="270" t="s">
        <v>423</v>
      </c>
      <c r="S147" s="270" t="s">
        <v>423</v>
      </c>
      <c r="T147" s="270" t="s">
        <v>423</v>
      </c>
      <c r="U147" s="269"/>
      <c r="V147" s="269"/>
      <c r="W147" s="269"/>
    </row>
    <row r="148" spans="2:23" x14ac:dyDescent="0.25">
      <c r="B148" s="351">
        <v>10.3</v>
      </c>
      <c r="C148" s="274" t="s">
        <v>389</v>
      </c>
      <c r="D148" s="275">
        <v>4.8</v>
      </c>
      <c r="E148" s="274">
        <v>0.96899999999999997</v>
      </c>
      <c r="F148" s="274">
        <v>0.43</v>
      </c>
      <c r="G148" s="301">
        <v>34.044600000000003</v>
      </c>
      <c r="H148" s="302">
        <v>0.99884202137642297</v>
      </c>
      <c r="I148" s="274">
        <v>39</v>
      </c>
      <c r="J148" s="276">
        <f>H148*I148</f>
        <v>38.954838833680498</v>
      </c>
      <c r="K148" s="301">
        <v>845.51700000000005</v>
      </c>
      <c r="L148" s="279">
        <f>(D148/E148)*F148*G148*J148*K148</f>
        <v>2388459.6435811617</v>
      </c>
      <c r="M148" s="297">
        <f>(L148*60)/1000000</f>
        <v>143.30757861486973</v>
      </c>
      <c r="N148" s="277">
        <f>K148/1000</f>
        <v>0.84551700000000007</v>
      </c>
      <c r="O148" s="280">
        <f>M148/N148</f>
        <v>169.49106713983244</v>
      </c>
      <c r="P148" s="352">
        <f>SUM(O148:O155)</f>
        <v>202.21779246000821</v>
      </c>
      <c r="Q148" s="303">
        <f>(O148/$P$148)*100</f>
        <v>83.816099996913977</v>
      </c>
      <c r="R148" s="353">
        <f>$T$22/($P$22/P148)</f>
        <v>18.625071705445063</v>
      </c>
      <c r="S148" s="280">
        <f>(Q148/100)*$R$148</f>
        <v>15.610808725132765</v>
      </c>
      <c r="T148" s="356">
        <f>SUM(S148:S155)</f>
        <v>18.625071705445066</v>
      </c>
      <c r="U148" s="269"/>
      <c r="V148" s="269"/>
      <c r="W148" s="269"/>
    </row>
    <row r="149" spans="2:23" x14ac:dyDescent="0.25">
      <c r="B149" s="351"/>
      <c r="C149" s="274" t="s">
        <v>391</v>
      </c>
      <c r="D149" s="275">
        <v>5.2299999999999999E-2</v>
      </c>
      <c r="E149" s="274">
        <v>0.94299999999999995</v>
      </c>
      <c r="F149" s="274">
        <v>0.43</v>
      </c>
      <c r="G149" s="301">
        <v>34.044600000000003</v>
      </c>
      <c r="H149" s="302">
        <v>0.98060887096774196</v>
      </c>
      <c r="I149" s="274">
        <v>16</v>
      </c>
      <c r="J149" s="276">
        <f t="shared" ref="J149:J152" si="118">H149*I149</f>
        <v>15.689741935483871</v>
      </c>
      <c r="K149" s="301">
        <v>845.51700000000005</v>
      </c>
      <c r="L149" s="279">
        <f t="shared" ref="L149:L151" si="119">(D149/E149)*F149*G149*J149*K149</f>
        <v>10770.722380923537</v>
      </c>
      <c r="M149" s="297">
        <f t="shared" ref="M149:M151" si="120">(L149*60)/1000000</f>
        <v>0.64624334285541218</v>
      </c>
      <c r="N149" s="277">
        <f t="shared" ref="N149:N151" si="121">K149/1000</f>
        <v>0.84551700000000007</v>
      </c>
      <c r="O149" s="280">
        <f t="shared" ref="O149:O151" si="122">M149/N149</f>
        <v>0.76431738552319128</v>
      </c>
      <c r="P149" s="352"/>
      <c r="Q149" s="303">
        <f t="shared" ref="Q149:Q152" si="123">(O149/$P$148)*100</f>
        <v>0.37796742622158097</v>
      </c>
      <c r="R149" s="354"/>
      <c r="S149" s="280">
        <f t="shared" ref="S149:S152" si="124">(Q149/100)*$R$148</f>
        <v>7.0396704156994616E-2</v>
      </c>
      <c r="T149" s="356"/>
      <c r="U149" s="269"/>
      <c r="V149" s="269"/>
      <c r="W149" s="269"/>
    </row>
    <row r="150" spans="2:23" x14ac:dyDescent="0.25">
      <c r="B150" s="351"/>
      <c r="C150" s="274" t="s">
        <v>425</v>
      </c>
      <c r="D150" s="275">
        <v>9.8000000000000004E-2</v>
      </c>
      <c r="E150" s="274">
        <v>0.99539999999999995</v>
      </c>
      <c r="F150" s="274">
        <v>0.78</v>
      </c>
      <c r="G150" s="301">
        <v>34.044600000000003</v>
      </c>
      <c r="H150" s="302">
        <v>1</v>
      </c>
      <c r="I150" s="274">
        <v>61</v>
      </c>
      <c r="J150" s="276">
        <f t="shared" si="118"/>
        <v>61</v>
      </c>
      <c r="K150" s="301">
        <v>845.51700000000005</v>
      </c>
      <c r="L150" s="279">
        <f t="shared" si="119"/>
        <v>134841.46330047952</v>
      </c>
      <c r="M150" s="297">
        <f t="shared" si="120"/>
        <v>8.0904877980287715</v>
      </c>
      <c r="N150" s="277">
        <f t="shared" si="121"/>
        <v>0.84551700000000007</v>
      </c>
      <c r="O150" s="280">
        <f t="shared" si="122"/>
        <v>9.568687321518988</v>
      </c>
      <c r="P150" s="352"/>
      <c r="Q150" s="303">
        <f t="shared" si="123"/>
        <v>4.7318721093305118</v>
      </c>
      <c r="R150" s="354"/>
      <c r="S150" s="280">
        <f t="shared" si="124"/>
        <v>0.88131457337276364</v>
      </c>
      <c r="T150" s="356"/>
      <c r="U150" s="269"/>
      <c r="V150" s="269"/>
      <c r="W150" s="269"/>
    </row>
    <row r="151" spans="2:23" x14ac:dyDescent="0.25">
      <c r="B151" s="351"/>
      <c r="C151" s="274" t="s">
        <v>426</v>
      </c>
      <c r="D151" s="275">
        <v>0.2286</v>
      </c>
      <c r="E151" s="274">
        <v>0.97499999999999998</v>
      </c>
      <c r="F151" s="274">
        <v>0.25</v>
      </c>
      <c r="G151" s="301">
        <v>34.044600000000003</v>
      </c>
      <c r="H151" s="302">
        <v>1</v>
      </c>
      <c r="I151" s="274">
        <v>11</v>
      </c>
      <c r="J151" s="276">
        <f t="shared" si="118"/>
        <v>11</v>
      </c>
      <c r="K151" s="301">
        <v>845.51700000000005</v>
      </c>
      <c r="L151" s="279">
        <f t="shared" si="119"/>
        <v>18559.868038756344</v>
      </c>
      <c r="M151" s="297">
        <f t="shared" si="120"/>
        <v>1.1135920823253804</v>
      </c>
      <c r="N151" s="277">
        <f t="shared" si="121"/>
        <v>0.84551700000000007</v>
      </c>
      <c r="O151" s="280">
        <f t="shared" si="122"/>
        <v>1.3170546332307693</v>
      </c>
      <c r="P151" s="352"/>
      <c r="Q151" s="303">
        <f t="shared" si="123"/>
        <v>0.65130501980494016</v>
      </c>
      <c r="R151" s="354"/>
      <c r="S151" s="280">
        <f t="shared" si="124"/>
        <v>0.12130602695983328</v>
      </c>
      <c r="T151" s="356"/>
      <c r="U151" s="269"/>
      <c r="V151" s="269"/>
      <c r="W151" s="269"/>
    </row>
    <row r="152" spans="2:23" x14ac:dyDescent="0.25">
      <c r="B152" s="351"/>
      <c r="C152" s="274" t="s">
        <v>395</v>
      </c>
      <c r="D152" s="275">
        <v>4.3999999999999997E-2</v>
      </c>
      <c r="E152" s="274">
        <v>0.96789999999999998</v>
      </c>
      <c r="F152" s="274">
        <v>0.43</v>
      </c>
      <c r="G152" s="301">
        <v>34.044600000000003</v>
      </c>
      <c r="H152" s="302">
        <v>1</v>
      </c>
      <c r="I152" s="274">
        <v>64.5</v>
      </c>
      <c r="J152" s="276">
        <f t="shared" si="118"/>
        <v>64.5</v>
      </c>
      <c r="K152" s="301">
        <v>845.51700000000005</v>
      </c>
      <c r="L152" s="279">
        <f t="shared" ref="L152" si="125">(D152/E152)*F152*G152*J152*K152</f>
        <v>36292.838546279359</v>
      </c>
      <c r="M152" s="297">
        <f t="shared" ref="M152" si="126">(L152*60)/1000000</f>
        <v>2.1775703127767616</v>
      </c>
      <c r="N152" s="306">
        <f t="shared" ref="N152" si="127">K152/1000</f>
        <v>0.84551700000000007</v>
      </c>
      <c r="O152" s="280">
        <f t="shared" ref="O152" si="128">M152/N152</f>
        <v>2.5754305505114168</v>
      </c>
      <c r="P152" s="352"/>
      <c r="Q152" s="303">
        <f t="shared" si="123"/>
        <v>1.2735924565197443</v>
      </c>
      <c r="R152" s="354"/>
      <c r="S152" s="280">
        <f t="shared" si="124"/>
        <v>0.23720750826194162</v>
      </c>
      <c r="T152" s="356"/>
      <c r="U152" s="269"/>
      <c r="V152" s="269"/>
      <c r="W152" s="269"/>
    </row>
    <row r="153" spans="2:23" ht="63" x14ac:dyDescent="0.25">
      <c r="B153" s="351"/>
      <c r="C153" s="274"/>
      <c r="D153" s="292" t="s">
        <v>427</v>
      </c>
      <c r="E153" s="292" t="s">
        <v>403</v>
      </c>
      <c r="F153" s="292" t="s">
        <v>428</v>
      </c>
      <c r="G153" s="304" t="s">
        <v>404</v>
      </c>
      <c r="H153" s="301"/>
      <c r="I153" s="270"/>
      <c r="J153" s="270"/>
      <c r="K153" s="304" t="s">
        <v>408</v>
      </c>
      <c r="L153" s="357" t="s">
        <v>409</v>
      </c>
      <c r="M153" s="357"/>
      <c r="N153" s="270" t="s">
        <v>408</v>
      </c>
      <c r="O153" s="260" t="s">
        <v>429</v>
      </c>
      <c r="P153" s="352"/>
      <c r="Q153" s="270" t="s">
        <v>411</v>
      </c>
      <c r="R153" s="354"/>
      <c r="S153" s="271" t="s">
        <v>413</v>
      </c>
      <c r="T153" s="356"/>
      <c r="U153" s="269"/>
      <c r="V153" s="269"/>
      <c r="W153" s="269"/>
    </row>
    <row r="154" spans="2:23" x14ac:dyDescent="0.25">
      <c r="B154" s="351"/>
      <c r="C154" s="270"/>
      <c r="D154" s="292" t="s">
        <v>430</v>
      </c>
      <c r="E154" s="292" t="s">
        <v>417</v>
      </c>
      <c r="F154" s="292" t="s">
        <v>417</v>
      </c>
      <c r="G154" s="304" t="s">
        <v>418</v>
      </c>
      <c r="H154" s="301"/>
      <c r="I154" s="270"/>
      <c r="J154" s="270"/>
      <c r="K154" s="304" t="s">
        <v>420</v>
      </c>
      <c r="L154" s="292" t="s">
        <v>421</v>
      </c>
      <c r="M154" s="292" t="s">
        <v>338</v>
      </c>
      <c r="N154" s="270" t="s">
        <v>422</v>
      </c>
      <c r="O154" s="273" t="s">
        <v>423</v>
      </c>
      <c r="P154" s="352"/>
      <c r="Q154" s="305"/>
      <c r="R154" s="354"/>
      <c r="S154" s="271"/>
      <c r="T154" s="356"/>
      <c r="U154" s="269"/>
      <c r="V154" s="269"/>
      <c r="W154" s="269"/>
    </row>
    <row r="155" spans="2:23" x14ac:dyDescent="0.25">
      <c r="B155" s="351"/>
      <c r="C155" s="274" t="s">
        <v>396</v>
      </c>
      <c r="D155" s="275">
        <v>9.16</v>
      </c>
      <c r="E155" s="274">
        <v>0.96599999999999997</v>
      </c>
      <c r="F155" s="274">
        <v>1</v>
      </c>
      <c r="G155" s="301">
        <v>34.044600000000003</v>
      </c>
      <c r="H155" s="301">
        <v>0.9551748878923767</v>
      </c>
      <c r="I155" s="285"/>
      <c r="J155" s="274"/>
      <c r="K155" s="301">
        <v>845.51700000000005</v>
      </c>
      <c r="L155" s="279">
        <f>(D155/E155)*F155*G155*K155*H155</f>
        <v>260718.48460921241</v>
      </c>
      <c r="M155" s="297">
        <f t="shared" ref="M155" si="129">(L155*60)/1000000</f>
        <v>15.643109076552745</v>
      </c>
      <c r="N155" s="277">
        <f>K155/1000</f>
        <v>0.84551700000000007</v>
      </c>
      <c r="O155" s="280">
        <f t="shared" ref="O155" si="130">M155/N155</f>
        <v>18.501235429391418</v>
      </c>
      <c r="P155" s="352"/>
      <c r="Q155" s="303">
        <f>(O155/$P$148)*100</f>
        <v>9.1491629912092591</v>
      </c>
      <c r="R155" s="355"/>
      <c r="S155" s="280">
        <f>(Q155/100)*$R$148</f>
        <v>1.7040381675607668</v>
      </c>
      <c r="T155" s="356"/>
      <c r="U155" s="269"/>
      <c r="V155" s="269"/>
      <c r="W155" s="269"/>
    </row>
    <row r="156" spans="2:23" ht="25.5" customHeight="1" x14ac:dyDescent="0.25">
      <c r="U156" s="269"/>
      <c r="V156" s="269"/>
      <c r="W156" s="269"/>
    </row>
    <row r="157" spans="2:23" ht="63" x14ac:dyDescent="0.25">
      <c r="B157" s="358" t="s">
        <v>400</v>
      </c>
      <c r="C157" s="358" t="s">
        <v>401</v>
      </c>
      <c r="D157" s="270" t="s">
        <v>402</v>
      </c>
      <c r="E157" s="270" t="s">
        <v>403</v>
      </c>
      <c r="F157" s="270" t="s">
        <v>386</v>
      </c>
      <c r="G157" s="301" t="s">
        <v>404</v>
      </c>
      <c r="H157" s="301" t="s">
        <v>405</v>
      </c>
      <c r="I157" s="270" t="s">
        <v>406</v>
      </c>
      <c r="J157" s="270" t="s">
        <v>407</v>
      </c>
      <c r="K157" s="301" t="s">
        <v>408</v>
      </c>
      <c r="L157" s="358" t="s">
        <v>409</v>
      </c>
      <c r="M157" s="358"/>
      <c r="N157" s="270" t="s">
        <v>408</v>
      </c>
      <c r="O157" s="358" t="s">
        <v>410</v>
      </c>
      <c r="P157" s="358"/>
      <c r="Q157" s="270" t="s">
        <v>411</v>
      </c>
      <c r="R157" s="270" t="s">
        <v>412</v>
      </c>
      <c r="S157" s="271" t="s">
        <v>413</v>
      </c>
      <c r="T157" s="270" t="s">
        <v>410</v>
      </c>
      <c r="U157" s="269"/>
      <c r="V157" s="269"/>
      <c r="W157" s="269"/>
    </row>
    <row r="158" spans="2:23" x14ac:dyDescent="0.25">
      <c r="B158" s="358"/>
      <c r="C158" s="358"/>
      <c r="D158" s="270" t="s">
        <v>416</v>
      </c>
      <c r="E158" s="270" t="s">
        <v>417</v>
      </c>
      <c r="F158" s="270" t="s">
        <v>417</v>
      </c>
      <c r="G158" s="301" t="s">
        <v>418</v>
      </c>
      <c r="H158" s="301" t="s">
        <v>417</v>
      </c>
      <c r="I158" s="270" t="s">
        <v>419</v>
      </c>
      <c r="J158" s="270" t="s">
        <v>419</v>
      </c>
      <c r="K158" s="301" t="s">
        <v>420</v>
      </c>
      <c r="L158" s="270" t="s">
        <v>421</v>
      </c>
      <c r="M158" s="270" t="s">
        <v>338</v>
      </c>
      <c r="N158" s="270" t="s">
        <v>422</v>
      </c>
      <c r="O158" s="273" t="s">
        <v>423</v>
      </c>
      <c r="P158" s="270" t="s">
        <v>423</v>
      </c>
      <c r="Q158" s="270"/>
      <c r="R158" s="270" t="s">
        <v>423</v>
      </c>
      <c r="S158" s="270" t="s">
        <v>423</v>
      </c>
      <c r="T158" s="270" t="s">
        <v>423</v>
      </c>
      <c r="U158" s="269"/>
      <c r="V158" s="269"/>
      <c r="W158" s="269"/>
    </row>
    <row r="159" spans="2:23" x14ac:dyDescent="0.25">
      <c r="B159" s="351">
        <v>11</v>
      </c>
      <c r="C159" s="274" t="s">
        <v>389</v>
      </c>
      <c r="D159" s="275">
        <v>4.8</v>
      </c>
      <c r="E159" s="274">
        <v>0.96899999999999997</v>
      </c>
      <c r="F159" s="274">
        <v>0.43</v>
      </c>
      <c r="G159" s="301">
        <v>34.520000000000003</v>
      </c>
      <c r="H159" s="302">
        <v>0.9993099987789632</v>
      </c>
      <c r="I159" s="274">
        <v>39</v>
      </c>
      <c r="J159" s="276">
        <f>H159*I159</f>
        <v>38.973089952379567</v>
      </c>
      <c r="K159" s="301">
        <v>906.41899999999998</v>
      </c>
      <c r="L159" s="279">
        <f>(D159/E159)*F159*G159*J159*K159</f>
        <v>2597470.0179068204</v>
      </c>
      <c r="M159" s="297">
        <f>(L159*60)/1000000</f>
        <v>155.84820107440922</v>
      </c>
      <c r="N159" s="277">
        <f>K159/1000</f>
        <v>0.90641899999999997</v>
      </c>
      <c r="O159" s="280">
        <f>M159/N159</f>
        <v>171.93836523110087</v>
      </c>
      <c r="P159" s="352">
        <f>SUM(O159:O166)</f>
        <v>204.59519873555479</v>
      </c>
      <c r="Q159" s="303">
        <f>(O159/$P$148)*100</f>
        <v>85.026328860307601</v>
      </c>
      <c r="R159" s="353">
        <f>$T$22/($P$22/P159)</f>
        <v>18.844040381822968</v>
      </c>
      <c r="S159" s="280">
        <f>(Q159/100)*$R$148</f>
        <v>15.83621471873982</v>
      </c>
      <c r="T159" s="356">
        <f>SUM(S159:S166)</f>
        <v>18.844040381822968</v>
      </c>
      <c r="U159" s="269"/>
      <c r="V159" s="269"/>
      <c r="W159" s="269"/>
    </row>
    <row r="160" spans="2:23" x14ac:dyDescent="0.25">
      <c r="B160" s="351"/>
      <c r="C160" s="274" t="s">
        <v>391</v>
      </c>
      <c r="D160" s="275">
        <v>5.2299999999999999E-2</v>
      </c>
      <c r="E160" s="274">
        <v>0.94299999999999995</v>
      </c>
      <c r="F160" s="274">
        <v>0.43</v>
      </c>
      <c r="G160" s="301">
        <v>34.520000000000003</v>
      </c>
      <c r="H160" s="302">
        <v>0.98253324889170357</v>
      </c>
      <c r="I160" s="274">
        <v>16</v>
      </c>
      <c r="J160" s="276">
        <f t="shared" ref="J160:J163" si="131">H160*I160</f>
        <v>15.720531982267257</v>
      </c>
      <c r="K160" s="301">
        <v>906.41899999999998</v>
      </c>
      <c r="L160" s="279">
        <f t="shared" ref="L160:L162" si="132">(D160/E160)*F160*G160*J160*K160</f>
        <v>11730.741849677461</v>
      </c>
      <c r="M160" s="297">
        <f t="shared" ref="M160:M162" si="133">(L160*60)/1000000</f>
        <v>0.7038445109806476</v>
      </c>
      <c r="N160" s="277">
        <f t="shared" ref="N160:N162" si="134">K160/1000</f>
        <v>0.90641899999999997</v>
      </c>
      <c r="O160" s="280">
        <f t="shared" ref="O160:O162" si="135">M160/N160</f>
        <v>0.77651120616475122</v>
      </c>
      <c r="P160" s="352"/>
      <c r="Q160" s="303">
        <f t="shared" ref="Q160:Q163" si="136">(O160/$P$148)*100</f>
        <v>0.38399746961846526</v>
      </c>
      <c r="R160" s="354"/>
      <c r="S160" s="280">
        <f t="shared" ref="S160:S163" si="137">(Q160/100)*$R$148</f>
        <v>7.1519804063533782E-2</v>
      </c>
      <c r="T160" s="356"/>
      <c r="U160" s="269"/>
      <c r="V160" s="269"/>
      <c r="W160" s="269"/>
    </row>
    <row r="161" spans="2:23" x14ac:dyDescent="0.25">
      <c r="B161" s="351"/>
      <c r="C161" s="274" t="s">
        <v>425</v>
      </c>
      <c r="D161" s="275">
        <v>9.8000000000000004E-2</v>
      </c>
      <c r="E161" s="274">
        <v>0.99539999999999995</v>
      </c>
      <c r="F161" s="274">
        <v>0.78</v>
      </c>
      <c r="G161" s="301">
        <v>34.520000000000003</v>
      </c>
      <c r="H161" s="302">
        <v>1</v>
      </c>
      <c r="I161" s="274">
        <v>61</v>
      </c>
      <c r="J161" s="276">
        <f t="shared" si="131"/>
        <v>61</v>
      </c>
      <c r="K161" s="301">
        <v>906.41899999999998</v>
      </c>
      <c r="L161" s="279">
        <f t="shared" si="132"/>
        <v>146572.55706150216</v>
      </c>
      <c r="M161" s="297">
        <f t="shared" si="133"/>
        <v>8.7943534236901293</v>
      </c>
      <c r="N161" s="277">
        <f t="shared" si="134"/>
        <v>0.90641899999999997</v>
      </c>
      <c r="O161" s="280">
        <f t="shared" si="135"/>
        <v>9.7023048101265861</v>
      </c>
      <c r="P161" s="352"/>
      <c r="Q161" s="303">
        <f t="shared" si="136"/>
        <v>4.7979481390320151</v>
      </c>
      <c r="R161" s="354"/>
      <c r="S161" s="280">
        <f t="shared" si="137"/>
        <v>0.89362128128477969</v>
      </c>
      <c r="T161" s="356"/>
      <c r="U161" s="269"/>
      <c r="V161" s="269"/>
      <c r="W161" s="269"/>
    </row>
    <row r="162" spans="2:23" x14ac:dyDescent="0.25">
      <c r="B162" s="351"/>
      <c r="C162" s="274" t="s">
        <v>426</v>
      </c>
      <c r="D162" s="275">
        <v>0.2286</v>
      </c>
      <c r="E162" s="274">
        <v>0.97499999999999998</v>
      </c>
      <c r="F162" s="274">
        <v>0.25</v>
      </c>
      <c r="G162" s="301">
        <v>34.520000000000003</v>
      </c>
      <c r="H162" s="302">
        <v>1</v>
      </c>
      <c r="I162" s="274">
        <v>11</v>
      </c>
      <c r="J162" s="276">
        <f t="shared" si="131"/>
        <v>11</v>
      </c>
      <c r="K162" s="301">
        <v>906.41899999999998</v>
      </c>
      <c r="L162" s="279">
        <f t="shared" si="132"/>
        <v>20174.560929396928</v>
      </c>
      <c r="M162" s="297">
        <f t="shared" si="133"/>
        <v>1.2104736557638156</v>
      </c>
      <c r="N162" s="277">
        <f t="shared" si="134"/>
        <v>0.90641899999999997</v>
      </c>
      <c r="O162" s="280">
        <f t="shared" si="135"/>
        <v>1.3354460307692311</v>
      </c>
      <c r="P162" s="352"/>
      <c r="Q162" s="303">
        <f t="shared" si="136"/>
        <v>0.6603998661657513</v>
      </c>
      <c r="R162" s="354"/>
      <c r="S162" s="280">
        <f t="shared" si="137"/>
        <v>0.12299994861603442</v>
      </c>
      <c r="T162" s="356"/>
      <c r="U162" s="269"/>
      <c r="V162" s="269"/>
      <c r="W162" s="269"/>
    </row>
    <row r="163" spans="2:23" x14ac:dyDescent="0.25">
      <c r="B163" s="351"/>
      <c r="C163" s="274" t="s">
        <v>395</v>
      </c>
      <c r="D163" s="275">
        <v>4.3999999999999997E-2</v>
      </c>
      <c r="E163" s="274">
        <v>0.96789999999999998</v>
      </c>
      <c r="F163" s="274">
        <v>0.43</v>
      </c>
      <c r="G163" s="301">
        <v>34.520000000000003</v>
      </c>
      <c r="H163" s="302">
        <v>1</v>
      </c>
      <c r="I163" s="274">
        <v>64.5</v>
      </c>
      <c r="J163" s="276">
        <f t="shared" si="131"/>
        <v>64.5</v>
      </c>
      <c r="K163" s="301">
        <v>906.41899999999998</v>
      </c>
      <c r="L163" s="279">
        <f t="shared" ref="L163" si="138">(D163/E163)*F163*G163*J163*K163</f>
        <v>39450.284938649864</v>
      </c>
      <c r="M163" s="297">
        <f t="shared" ref="M163" si="139">(L163*60)/1000000</f>
        <v>2.367017096318992</v>
      </c>
      <c r="N163" s="306">
        <f t="shared" ref="N163" si="140">K163/1000</f>
        <v>0.90641899999999997</v>
      </c>
      <c r="O163" s="280">
        <f t="shared" ref="O163" si="141">M163/N163</f>
        <v>2.6113939539208602</v>
      </c>
      <c r="P163" s="352"/>
      <c r="Q163" s="303">
        <f t="shared" si="136"/>
        <v>1.2913769466835143</v>
      </c>
      <c r="R163" s="354"/>
      <c r="S163" s="280">
        <f t="shared" si="137"/>
        <v>0.2405198823073916</v>
      </c>
      <c r="T163" s="356"/>
      <c r="U163" s="269"/>
      <c r="V163" s="269"/>
      <c r="W163" s="269"/>
    </row>
    <row r="164" spans="2:23" ht="63" x14ac:dyDescent="0.25">
      <c r="B164" s="351"/>
      <c r="C164" s="274"/>
      <c r="D164" s="292" t="s">
        <v>427</v>
      </c>
      <c r="E164" s="292" t="s">
        <v>403</v>
      </c>
      <c r="F164" s="292" t="s">
        <v>428</v>
      </c>
      <c r="G164" s="304" t="s">
        <v>404</v>
      </c>
      <c r="H164" s="301"/>
      <c r="I164" s="270"/>
      <c r="J164" s="270"/>
      <c r="K164" s="304" t="s">
        <v>408</v>
      </c>
      <c r="L164" s="357" t="s">
        <v>409</v>
      </c>
      <c r="M164" s="357"/>
      <c r="N164" s="270" t="s">
        <v>408</v>
      </c>
      <c r="O164" s="260" t="s">
        <v>429</v>
      </c>
      <c r="P164" s="352"/>
      <c r="Q164" s="270" t="s">
        <v>411</v>
      </c>
      <c r="R164" s="354"/>
      <c r="S164" s="271" t="s">
        <v>413</v>
      </c>
      <c r="T164" s="356"/>
      <c r="U164" s="269"/>
      <c r="V164" s="269"/>
      <c r="W164" s="269"/>
    </row>
    <row r="165" spans="2:23" x14ac:dyDescent="0.25">
      <c r="B165" s="351"/>
      <c r="C165" s="270"/>
      <c r="D165" s="292" t="s">
        <v>430</v>
      </c>
      <c r="E165" s="292" t="s">
        <v>417</v>
      </c>
      <c r="F165" s="292" t="s">
        <v>417</v>
      </c>
      <c r="G165" s="304" t="s">
        <v>418</v>
      </c>
      <c r="H165" s="301"/>
      <c r="I165" s="270"/>
      <c r="J165" s="270"/>
      <c r="K165" s="304" t="s">
        <v>420</v>
      </c>
      <c r="L165" s="292" t="s">
        <v>421</v>
      </c>
      <c r="M165" s="292" t="s">
        <v>338</v>
      </c>
      <c r="N165" s="270" t="s">
        <v>422</v>
      </c>
      <c r="O165" s="273" t="s">
        <v>423</v>
      </c>
      <c r="P165" s="352"/>
      <c r="Q165" s="305"/>
      <c r="R165" s="354"/>
      <c r="S165" s="271"/>
      <c r="T165" s="356"/>
      <c r="U165" s="269"/>
      <c r="V165" s="269"/>
      <c r="W165" s="269"/>
    </row>
    <row r="166" spans="2:23" x14ac:dyDescent="0.25">
      <c r="B166" s="351"/>
      <c r="C166" s="274" t="s">
        <v>396</v>
      </c>
      <c r="D166" s="275">
        <v>9.16</v>
      </c>
      <c r="E166" s="274">
        <v>0.96599999999999997</v>
      </c>
      <c r="F166" s="274">
        <v>1</v>
      </c>
      <c r="G166" s="301">
        <v>34.520000000000003</v>
      </c>
      <c r="H166" s="301">
        <v>0.92827004219409281</v>
      </c>
      <c r="I166" s="285"/>
      <c r="J166" s="274"/>
      <c r="K166" s="301">
        <v>906.41899999999998</v>
      </c>
      <c r="L166" s="279">
        <f>(D166/E166)*F166*G166*K166*H166</f>
        <v>275418.0946920006</v>
      </c>
      <c r="M166" s="297">
        <f t="shared" ref="M166" si="142">(L166*60)/1000000</f>
        <v>16.525085681520036</v>
      </c>
      <c r="N166" s="277">
        <f>K166/1000</f>
        <v>0.90641899999999997</v>
      </c>
      <c r="O166" s="280">
        <f t="shared" ref="O166" si="143">M166/N166</f>
        <v>18.231177503472495</v>
      </c>
      <c r="P166" s="352"/>
      <c r="Q166" s="303">
        <f>(O166/$P$148)*100</f>
        <v>9.0156149375817165</v>
      </c>
      <c r="R166" s="355"/>
      <c r="S166" s="280">
        <f>(Q166/100)*$R$148</f>
        <v>1.6791647468114108</v>
      </c>
      <c r="T166" s="356"/>
      <c r="U166" s="269"/>
      <c r="V166" s="269"/>
      <c r="W166" s="269"/>
    </row>
    <row r="167" spans="2:23" x14ac:dyDescent="0.25">
      <c r="U167" s="269"/>
      <c r="V167" s="269"/>
      <c r="W167" s="269"/>
    </row>
    <row r="168" spans="2:23" ht="63" x14ac:dyDescent="0.25">
      <c r="B168" s="358" t="s">
        <v>400</v>
      </c>
      <c r="C168" s="358" t="s">
        <v>401</v>
      </c>
      <c r="D168" s="270" t="s">
        <v>402</v>
      </c>
      <c r="E168" s="270" t="s">
        <v>403</v>
      </c>
      <c r="F168" s="270" t="s">
        <v>386</v>
      </c>
      <c r="G168" s="301" t="s">
        <v>404</v>
      </c>
      <c r="H168" s="301" t="s">
        <v>405</v>
      </c>
      <c r="I168" s="270" t="s">
        <v>406</v>
      </c>
      <c r="J168" s="270" t="s">
        <v>407</v>
      </c>
      <c r="K168" s="301" t="s">
        <v>408</v>
      </c>
      <c r="L168" s="358" t="s">
        <v>409</v>
      </c>
      <c r="M168" s="358"/>
      <c r="N168" s="270" t="s">
        <v>408</v>
      </c>
      <c r="O168" s="358" t="s">
        <v>410</v>
      </c>
      <c r="P168" s="358"/>
      <c r="Q168" s="270" t="s">
        <v>411</v>
      </c>
      <c r="R168" s="270" t="s">
        <v>412</v>
      </c>
      <c r="S168" s="271" t="s">
        <v>413</v>
      </c>
      <c r="T168" s="270" t="s">
        <v>410</v>
      </c>
      <c r="U168" s="269"/>
      <c r="V168" s="269"/>
      <c r="W168" s="269"/>
    </row>
    <row r="169" spans="2:23" x14ac:dyDescent="0.25">
      <c r="B169" s="358"/>
      <c r="C169" s="358"/>
      <c r="D169" s="270" t="s">
        <v>416</v>
      </c>
      <c r="E169" s="270" t="s">
        <v>417</v>
      </c>
      <c r="F169" s="270" t="s">
        <v>417</v>
      </c>
      <c r="G169" s="301" t="s">
        <v>418</v>
      </c>
      <c r="H169" s="301" t="s">
        <v>417</v>
      </c>
      <c r="I169" s="270" t="s">
        <v>419</v>
      </c>
      <c r="J169" s="270" t="s">
        <v>419</v>
      </c>
      <c r="K169" s="301" t="s">
        <v>420</v>
      </c>
      <c r="L169" s="270" t="s">
        <v>421</v>
      </c>
      <c r="M169" s="270" t="s">
        <v>338</v>
      </c>
      <c r="N169" s="270" t="s">
        <v>422</v>
      </c>
      <c r="O169" s="273" t="s">
        <v>423</v>
      </c>
      <c r="P169" s="270" t="s">
        <v>423</v>
      </c>
      <c r="Q169" s="270"/>
      <c r="R169" s="270" t="s">
        <v>423</v>
      </c>
      <c r="S169" s="270" t="s">
        <v>423</v>
      </c>
      <c r="T169" s="270" t="s">
        <v>423</v>
      </c>
      <c r="U169" s="269"/>
      <c r="V169" s="269"/>
      <c r="W169" s="269"/>
    </row>
    <row r="170" spans="2:23" x14ac:dyDescent="0.25">
      <c r="B170" s="351">
        <v>12</v>
      </c>
      <c r="C170" s="274" t="s">
        <v>389</v>
      </c>
      <c r="D170" s="275">
        <v>4.8</v>
      </c>
      <c r="E170" s="274">
        <v>0.96899999999999997</v>
      </c>
      <c r="F170" s="274">
        <v>0.43</v>
      </c>
      <c r="G170" s="301">
        <v>35.158000000000001</v>
      </c>
      <c r="H170" s="302">
        <v>0.99967071823804177</v>
      </c>
      <c r="I170" s="274">
        <v>39</v>
      </c>
      <c r="J170" s="276">
        <f>H170*I170</f>
        <v>38.987158011283626</v>
      </c>
      <c r="K170" s="301">
        <v>991.71</v>
      </c>
      <c r="L170" s="279">
        <f>(D170/E170)*F170*G170*J170*K170</f>
        <v>2895451.8581345128</v>
      </c>
      <c r="M170" s="297">
        <f>(L170*60)/1000000</f>
        <v>173.72711148807076</v>
      </c>
      <c r="N170" s="277">
        <f>K170/1000</f>
        <v>0.99171000000000009</v>
      </c>
      <c r="O170" s="280">
        <f>M170/N170</f>
        <v>175.17934828535635</v>
      </c>
      <c r="P170" s="352">
        <f>SUM(O170:O177)</f>
        <v>209.18844438887032</v>
      </c>
      <c r="Q170" s="303">
        <f>(O170/$P$148)*100</f>
        <v>86.629047896465821</v>
      </c>
      <c r="R170" s="353">
        <f>$T$22/($P$22/P170)</f>
        <v>19.267096773711156</v>
      </c>
      <c r="S170" s="280">
        <f>(Q170/100)*$R$148</f>
        <v>16.134722288461106</v>
      </c>
      <c r="T170" s="356">
        <f>SUM(S170:S177)</f>
        <v>19.267096773711156</v>
      </c>
      <c r="U170" s="269"/>
      <c r="V170" s="269"/>
      <c r="W170" s="269"/>
    </row>
    <row r="171" spans="2:23" x14ac:dyDescent="0.25">
      <c r="B171" s="351"/>
      <c r="C171" s="274" t="s">
        <v>391</v>
      </c>
      <c r="D171" s="275">
        <v>5.2299999999999999E-2</v>
      </c>
      <c r="E171" s="274">
        <v>0.94299999999999995</v>
      </c>
      <c r="F171" s="274">
        <v>0.43</v>
      </c>
      <c r="G171" s="301">
        <v>35.158000000000001</v>
      </c>
      <c r="H171" s="302">
        <v>0.98492685781158573</v>
      </c>
      <c r="I171" s="274">
        <v>16</v>
      </c>
      <c r="J171" s="276">
        <f t="shared" ref="J171:J174" si="144">H171*I171</f>
        <v>15.758829724985372</v>
      </c>
      <c r="K171" s="301">
        <v>991.71</v>
      </c>
      <c r="L171" s="279">
        <f t="shared" ref="L171:L173" si="145">(D171/E171)*F171*G171*J171*K171</f>
        <v>13103.619359323236</v>
      </c>
      <c r="M171" s="297">
        <f t="shared" ref="M171:M173" si="146">(L171*60)/1000000</f>
        <v>0.78621716155939425</v>
      </c>
      <c r="N171" s="277">
        <f t="shared" ref="N171:N173" si="147">K171/1000</f>
        <v>0.99171000000000009</v>
      </c>
      <c r="O171" s="280">
        <f t="shared" ref="O171:O173" si="148">M171/N171</f>
        <v>0.79278938556573408</v>
      </c>
      <c r="P171" s="352"/>
      <c r="Q171" s="303">
        <f t="shared" ref="Q171:Q174" si="149">(O171/$P$148)*100</f>
        <v>0.3920472951075859</v>
      </c>
      <c r="R171" s="354"/>
      <c r="S171" s="280">
        <f t="shared" ref="S171:S174" si="150">(Q171/100)*$R$148</f>
        <v>7.3019089833045683E-2</v>
      </c>
      <c r="T171" s="356"/>
      <c r="U171" s="269"/>
      <c r="V171" s="269"/>
      <c r="W171" s="269"/>
    </row>
    <row r="172" spans="2:23" x14ac:dyDescent="0.25">
      <c r="B172" s="351"/>
      <c r="C172" s="274" t="s">
        <v>425</v>
      </c>
      <c r="D172" s="275">
        <v>9.8000000000000004E-2</v>
      </c>
      <c r="E172" s="274">
        <v>0.99539999999999995</v>
      </c>
      <c r="F172" s="274">
        <v>0.78</v>
      </c>
      <c r="G172" s="301">
        <v>35.158000000000001</v>
      </c>
      <c r="H172" s="302">
        <v>1</v>
      </c>
      <c r="I172" s="274">
        <v>61</v>
      </c>
      <c r="J172" s="276">
        <f t="shared" si="144"/>
        <v>61</v>
      </c>
      <c r="K172" s="301">
        <v>991.71</v>
      </c>
      <c r="L172" s="279">
        <f t="shared" si="145"/>
        <v>163328.40889382281</v>
      </c>
      <c r="M172" s="297">
        <f t="shared" si="146"/>
        <v>9.7997045336293684</v>
      </c>
      <c r="N172" s="277">
        <f t="shared" si="147"/>
        <v>0.99171000000000009</v>
      </c>
      <c r="O172" s="280">
        <f t="shared" si="148"/>
        <v>9.8816231898734177</v>
      </c>
      <c r="P172" s="352"/>
      <c r="Q172" s="303">
        <f t="shared" si="149"/>
        <v>4.8866240055645278</v>
      </c>
      <c r="R172" s="354"/>
      <c r="S172" s="280">
        <f t="shared" si="150"/>
        <v>0.91013722501188499</v>
      </c>
      <c r="T172" s="356"/>
      <c r="U172" s="269"/>
      <c r="V172" s="269"/>
      <c r="W172" s="269"/>
    </row>
    <row r="173" spans="2:23" x14ac:dyDescent="0.25">
      <c r="B173" s="351"/>
      <c r="C173" s="274" t="s">
        <v>426</v>
      </c>
      <c r="D173" s="275">
        <v>0.2286</v>
      </c>
      <c r="E173" s="274">
        <v>0.97499999999999998</v>
      </c>
      <c r="F173" s="274">
        <v>0.25</v>
      </c>
      <c r="G173" s="301">
        <v>35.158000000000001</v>
      </c>
      <c r="H173" s="302">
        <v>1</v>
      </c>
      <c r="I173" s="274">
        <v>11</v>
      </c>
      <c r="J173" s="276">
        <f t="shared" si="144"/>
        <v>11</v>
      </c>
      <c r="K173" s="301">
        <v>991.71</v>
      </c>
      <c r="L173" s="279">
        <f t="shared" si="145"/>
        <v>22480.872291443076</v>
      </c>
      <c r="M173" s="297">
        <f t="shared" si="146"/>
        <v>1.3488523374865846</v>
      </c>
      <c r="N173" s="277">
        <f t="shared" si="147"/>
        <v>0.99171000000000009</v>
      </c>
      <c r="O173" s="280">
        <f t="shared" si="148"/>
        <v>1.3601277969230767</v>
      </c>
      <c r="P173" s="352"/>
      <c r="Q173" s="303">
        <f t="shared" si="149"/>
        <v>0.67260540251029777</v>
      </c>
      <c r="R173" s="354"/>
      <c r="S173" s="280">
        <f t="shared" si="150"/>
        <v>0.12527323851224034</v>
      </c>
      <c r="T173" s="356"/>
      <c r="U173" s="269"/>
      <c r="V173" s="269"/>
      <c r="W173" s="269"/>
    </row>
    <row r="174" spans="2:23" x14ac:dyDescent="0.25">
      <c r="B174" s="351"/>
      <c r="C174" s="274" t="s">
        <v>395</v>
      </c>
      <c r="D174" s="275">
        <v>4.3999999999999997E-2</v>
      </c>
      <c r="E174" s="274">
        <v>0.96789999999999998</v>
      </c>
      <c r="F174" s="274">
        <v>0.43</v>
      </c>
      <c r="G174" s="301">
        <v>35.158000000000001</v>
      </c>
      <c r="H174" s="302">
        <v>1</v>
      </c>
      <c r="I174" s="274">
        <v>64.5</v>
      </c>
      <c r="J174" s="276">
        <f t="shared" si="144"/>
        <v>64.5</v>
      </c>
      <c r="K174" s="301">
        <v>991.71</v>
      </c>
      <c r="L174" s="279">
        <f t="shared" ref="L174" si="151">(D174/E174)*F174*G174*J174*K174</f>
        <v>43960.154606117576</v>
      </c>
      <c r="M174" s="297">
        <f t="shared" ref="M174" si="152">(L174*60)/1000000</f>
        <v>2.6376092763670544</v>
      </c>
      <c r="N174" s="306">
        <f t="shared" ref="N174" si="153">K174/1000</f>
        <v>0.99171000000000009</v>
      </c>
      <c r="O174" s="280">
        <f t="shared" ref="O174" si="154">M174/N174</f>
        <v>2.6596578398594892</v>
      </c>
      <c r="P174" s="352"/>
      <c r="Q174" s="303">
        <f t="shared" si="149"/>
        <v>1.3152442262890784</v>
      </c>
      <c r="R174" s="354"/>
      <c r="S174" s="280">
        <f t="shared" si="150"/>
        <v>0.24496518024806696</v>
      </c>
      <c r="T174" s="356"/>
      <c r="U174" s="269"/>
      <c r="V174" s="269"/>
      <c r="W174" s="269"/>
    </row>
    <row r="175" spans="2:23" ht="63" x14ac:dyDescent="0.25">
      <c r="B175" s="351"/>
      <c r="C175" s="274"/>
      <c r="D175" s="292" t="s">
        <v>427</v>
      </c>
      <c r="E175" s="292" t="s">
        <v>403</v>
      </c>
      <c r="F175" s="292" t="s">
        <v>428</v>
      </c>
      <c r="G175" s="304" t="s">
        <v>404</v>
      </c>
      <c r="H175" s="301"/>
      <c r="I175" s="270"/>
      <c r="J175" s="270"/>
      <c r="K175" s="304" t="s">
        <v>408</v>
      </c>
      <c r="L175" s="357" t="s">
        <v>409</v>
      </c>
      <c r="M175" s="357"/>
      <c r="N175" s="270" t="s">
        <v>408</v>
      </c>
      <c r="O175" s="260" t="s">
        <v>429</v>
      </c>
      <c r="P175" s="352"/>
      <c r="Q175" s="270" t="s">
        <v>411</v>
      </c>
      <c r="R175" s="354"/>
      <c r="S175" s="271" t="s">
        <v>413</v>
      </c>
      <c r="T175" s="356"/>
      <c r="U175" s="269"/>
      <c r="V175" s="269"/>
      <c r="W175" s="269"/>
    </row>
    <row r="176" spans="2:23" x14ac:dyDescent="0.25">
      <c r="B176" s="351"/>
      <c r="C176" s="270"/>
      <c r="D176" s="292" t="s">
        <v>430</v>
      </c>
      <c r="E176" s="292" t="s">
        <v>417</v>
      </c>
      <c r="F176" s="292" t="s">
        <v>417</v>
      </c>
      <c r="G176" s="304" t="s">
        <v>418</v>
      </c>
      <c r="H176" s="301"/>
      <c r="I176" s="270"/>
      <c r="J176" s="270"/>
      <c r="K176" s="304" t="s">
        <v>420</v>
      </c>
      <c r="L176" s="292" t="s">
        <v>421</v>
      </c>
      <c r="M176" s="292" t="s">
        <v>338</v>
      </c>
      <c r="N176" s="270" t="s">
        <v>422</v>
      </c>
      <c r="O176" s="273" t="s">
        <v>423</v>
      </c>
      <c r="P176" s="352"/>
      <c r="Q176" s="305"/>
      <c r="R176" s="354"/>
      <c r="S176" s="271"/>
      <c r="T176" s="356"/>
      <c r="U176" s="269"/>
      <c r="V176" s="269"/>
      <c r="W176" s="269"/>
    </row>
    <row r="177" spans="2:23" x14ac:dyDescent="0.25">
      <c r="B177" s="351"/>
      <c r="C177" s="274" t="s">
        <v>396</v>
      </c>
      <c r="D177" s="275">
        <v>9.16</v>
      </c>
      <c r="E177" s="274">
        <v>0.96599999999999997</v>
      </c>
      <c r="F177" s="274">
        <v>1</v>
      </c>
      <c r="G177" s="301">
        <v>35.158000000000001</v>
      </c>
      <c r="H177" s="301">
        <v>0.96560311284046696</v>
      </c>
      <c r="I177" s="285"/>
      <c r="J177" s="274"/>
      <c r="K177" s="301">
        <v>991.71</v>
      </c>
      <c r="L177" s="279">
        <f>(D177/E177)*F177*G177*K177*H177</f>
        <v>319246.28979622421</v>
      </c>
      <c r="M177" s="297">
        <f t="shared" ref="M177" si="155">(L177*60)/1000000</f>
        <v>19.154777387773454</v>
      </c>
      <c r="N177" s="277">
        <f>K177/1000</f>
        <v>0.99171000000000009</v>
      </c>
      <c r="O177" s="280">
        <f t="shared" ref="O177" si="156">M177/N177</f>
        <v>19.314897891292265</v>
      </c>
      <c r="P177" s="352"/>
      <c r="Q177" s="303">
        <f>(O177/$P$148)*100</f>
        <v>9.5515323633611988</v>
      </c>
      <c r="R177" s="355"/>
      <c r="S177" s="280">
        <f>(Q177/100)*$R$148</f>
        <v>1.7789797516448147</v>
      </c>
      <c r="T177" s="356"/>
      <c r="U177" s="269"/>
      <c r="V177" s="269"/>
      <c r="W177" s="269"/>
    </row>
    <row r="178" spans="2:23" x14ac:dyDescent="0.25">
      <c r="U178" s="269"/>
      <c r="V178" s="269"/>
      <c r="W178" s="269"/>
    </row>
    <row r="179" spans="2:23" x14ac:dyDescent="0.25">
      <c r="U179" s="269"/>
      <c r="V179" s="269"/>
      <c r="W179" s="269"/>
    </row>
    <row r="180" spans="2:23" ht="63" x14ac:dyDescent="0.25">
      <c r="B180" s="358" t="s">
        <v>400</v>
      </c>
      <c r="C180" s="358" t="s">
        <v>401</v>
      </c>
      <c r="D180" s="270" t="s">
        <v>402</v>
      </c>
      <c r="E180" s="270" t="s">
        <v>403</v>
      </c>
      <c r="F180" s="270" t="s">
        <v>386</v>
      </c>
      <c r="G180" s="301" t="s">
        <v>404</v>
      </c>
      <c r="H180" s="301" t="s">
        <v>405</v>
      </c>
      <c r="I180" s="270" t="s">
        <v>406</v>
      </c>
      <c r="J180" s="270" t="s">
        <v>407</v>
      </c>
      <c r="K180" s="301" t="s">
        <v>408</v>
      </c>
      <c r="L180" s="358" t="s">
        <v>409</v>
      </c>
      <c r="M180" s="358"/>
      <c r="N180" s="270" t="s">
        <v>408</v>
      </c>
      <c r="O180" s="358" t="s">
        <v>410</v>
      </c>
      <c r="P180" s="358"/>
      <c r="Q180" s="270" t="s">
        <v>411</v>
      </c>
      <c r="R180" s="270" t="s">
        <v>412</v>
      </c>
      <c r="S180" s="271" t="s">
        <v>413</v>
      </c>
      <c r="T180" s="270" t="s">
        <v>410</v>
      </c>
      <c r="V180" s="269"/>
      <c r="W180" s="269"/>
    </row>
    <row r="181" spans="2:23" x14ac:dyDescent="0.25">
      <c r="B181" s="358"/>
      <c r="C181" s="358"/>
      <c r="D181" s="270" t="s">
        <v>416</v>
      </c>
      <c r="E181" s="270" t="s">
        <v>417</v>
      </c>
      <c r="F181" s="270" t="s">
        <v>417</v>
      </c>
      <c r="G181" s="301" t="s">
        <v>418</v>
      </c>
      <c r="H181" s="301" t="s">
        <v>417</v>
      </c>
      <c r="I181" s="270" t="s">
        <v>419</v>
      </c>
      <c r="J181" s="270" t="s">
        <v>419</v>
      </c>
      <c r="K181" s="301" t="s">
        <v>420</v>
      </c>
      <c r="L181" s="270" t="s">
        <v>421</v>
      </c>
      <c r="M181" s="270" t="s">
        <v>338</v>
      </c>
      <c r="N181" s="270" t="s">
        <v>422</v>
      </c>
      <c r="O181" s="273" t="s">
        <v>423</v>
      </c>
      <c r="P181" s="270" t="s">
        <v>423</v>
      </c>
      <c r="Q181" s="270"/>
      <c r="R181" s="270" t="s">
        <v>423</v>
      </c>
      <c r="S181" s="270" t="s">
        <v>423</v>
      </c>
      <c r="T181" s="270" t="s">
        <v>423</v>
      </c>
      <c r="V181" s="269"/>
      <c r="W181" s="269"/>
    </row>
    <row r="182" spans="2:23" x14ac:dyDescent="0.25">
      <c r="B182" s="351">
        <v>13</v>
      </c>
      <c r="C182" s="274" t="s">
        <v>389</v>
      </c>
      <c r="D182" s="275">
        <v>4.8</v>
      </c>
      <c r="E182" s="274">
        <v>0.96899999999999997</v>
      </c>
      <c r="F182" s="274">
        <v>0.43</v>
      </c>
      <c r="G182" s="301">
        <v>35.76</v>
      </c>
      <c r="H182" s="302">
        <v>1</v>
      </c>
      <c r="I182" s="274">
        <v>39</v>
      </c>
      <c r="J182" s="276">
        <f>H182*I182</f>
        <v>39</v>
      </c>
      <c r="K182" s="301">
        <v>1069.056</v>
      </c>
      <c r="L182" s="279">
        <f>(D182/E182)*F182*G182*J182*K182</f>
        <v>3175765.9528480498</v>
      </c>
      <c r="M182" s="297">
        <f>(L182*60)/1000000</f>
        <v>190.54595717088301</v>
      </c>
      <c r="N182" s="277">
        <f>K182/1000</f>
        <v>1.069056</v>
      </c>
      <c r="O182" s="280">
        <f>M182/N182</f>
        <v>178.23758266253873</v>
      </c>
      <c r="P182" s="352">
        <f>SUM(O182:O189)</f>
        <v>212.93116302031351</v>
      </c>
      <c r="Q182" s="303">
        <f>(O182/$P$148)*100</f>
        <v>88.141394728056895</v>
      </c>
      <c r="R182" s="353">
        <f>$T$22/($P$22/P182)</f>
        <v>19.611816207327369</v>
      </c>
      <c r="S182" s="280">
        <f>(Q182/100)*$R$148</f>
        <v>16.41639797027997</v>
      </c>
      <c r="T182" s="356">
        <f>SUM(S182:S189)</f>
        <v>19.611816207327372</v>
      </c>
      <c r="V182" s="269"/>
      <c r="W182" s="269"/>
    </row>
    <row r="183" spans="2:23" x14ac:dyDescent="0.25">
      <c r="B183" s="351"/>
      <c r="C183" s="274" t="s">
        <v>391</v>
      </c>
      <c r="D183" s="275">
        <v>5.2299999999999999E-2</v>
      </c>
      <c r="E183" s="274">
        <v>0.94299999999999995</v>
      </c>
      <c r="F183" s="274">
        <v>0.43</v>
      </c>
      <c r="G183" s="301">
        <v>35.76</v>
      </c>
      <c r="H183" s="302">
        <v>0.98698205546492657</v>
      </c>
      <c r="I183" s="274">
        <v>16</v>
      </c>
      <c r="J183" s="276">
        <f t="shared" ref="J183:J186" si="157">H183*I183</f>
        <v>15.791712887438825</v>
      </c>
      <c r="K183" s="301">
        <v>1069.056</v>
      </c>
      <c r="L183" s="279">
        <f t="shared" ref="L183:L185" si="158">(D183/E183)*F183*G183*J183*K183</f>
        <v>14397.452571351721</v>
      </c>
      <c r="M183" s="297">
        <f t="shared" ref="M183:M185" si="159">(L183*60)/1000000</f>
        <v>0.86384715428110326</v>
      </c>
      <c r="N183" s="277">
        <f t="shared" ref="N183:N185" si="160">K183/1000</f>
        <v>1.069056</v>
      </c>
      <c r="O183" s="280">
        <f t="shared" ref="O183:O185" si="161">M183/N183</f>
        <v>0.80804668256957846</v>
      </c>
      <c r="P183" s="352"/>
      <c r="Q183" s="303">
        <f t="shared" ref="Q183:Q186" si="162">(O183/$P$148)*100</f>
        <v>0.39959227758328064</v>
      </c>
      <c r="R183" s="354"/>
      <c r="S183" s="280">
        <f t="shared" ref="S183:S186" si="163">(Q183/100)*$R$148</f>
        <v>7.4424348229307102E-2</v>
      </c>
      <c r="T183" s="356"/>
      <c r="V183" s="269"/>
      <c r="W183" s="269"/>
    </row>
    <row r="184" spans="2:23" x14ac:dyDescent="0.25">
      <c r="B184" s="351"/>
      <c r="C184" s="274" t="s">
        <v>425</v>
      </c>
      <c r="D184" s="275">
        <v>9.8000000000000004E-2</v>
      </c>
      <c r="E184" s="274">
        <v>0.99539999999999995</v>
      </c>
      <c r="F184" s="274">
        <v>0.78</v>
      </c>
      <c r="G184" s="301">
        <v>35.76</v>
      </c>
      <c r="H184" s="302">
        <v>1</v>
      </c>
      <c r="I184" s="274">
        <v>61</v>
      </c>
      <c r="J184" s="276">
        <f t="shared" si="157"/>
        <v>61</v>
      </c>
      <c r="K184" s="301">
        <v>1069.056</v>
      </c>
      <c r="L184" s="279">
        <f t="shared" si="158"/>
        <v>179081.54907220256</v>
      </c>
      <c r="M184" s="297">
        <f t="shared" si="159"/>
        <v>10.744892944332152</v>
      </c>
      <c r="N184" s="277">
        <f t="shared" si="160"/>
        <v>1.069056</v>
      </c>
      <c r="O184" s="280">
        <f t="shared" si="161"/>
        <v>10.05082329113924</v>
      </c>
      <c r="P184" s="352"/>
      <c r="Q184" s="303">
        <f t="shared" si="162"/>
        <v>4.9702962181861174</v>
      </c>
      <c r="R184" s="354"/>
      <c r="S184" s="280">
        <f t="shared" si="163"/>
        <v>0.92572123461018851</v>
      </c>
      <c r="T184" s="356"/>
      <c r="V184" s="269"/>
      <c r="W184" s="269"/>
    </row>
    <row r="185" spans="2:23" x14ac:dyDescent="0.25">
      <c r="B185" s="351"/>
      <c r="C185" s="274" t="s">
        <v>426</v>
      </c>
      <c r="D185" s="275">
        <v>0.2286</v>
      </c>
      <c r="E185" s="274">
        <v>0.97499999999999998</v>
      </c>
      <c r="F185" s="274">
        <v>0.25</v>
      </c>
      <c r="G185" s="301">
        <v>35.76</v>
      </c>
      <c r="H185" s="302">
        <v>1</v>
      </c>
      <c r="I185" s="274">
        <v>11</v>
      </c>
      <c r="J185" s="276">
        <f t="shared" si="157"/>
        <v>11</v>
      </c>
      <c r="K185" s="301">
        <v>1069.056</v>
      </c>
      <c r="L185" s="279">
        <f t="shared" si="158"/>
        <v>24649.168272147694</v>
      </c>
      <c r="M185" s="297">
        <f t="shared" si="159"/>
        <v>1.4789500963288615</v>
      </c>
      <c r="N185" s="277">
        <f t="shared" si="160"/>
        <v>1.069056</v>
      </c>
      <c r="O185" s="280">
        <f t="shared" si="161"/>
        <v>1.3834168615384614</v>
      </c>
      <c r="P185" s="352"/>
      <c r="Q185" s="303">
        <f t="shared" si="162"/>
        <v>0.68412222520530885</v>
      </c>
      <c r="R185" s="354"/>
      <c r="S185" s="280">
        <f t="shared" si="163"/>
        <v>0.12741825499737514</v>
      </c>
      <c r="T185" s="356"/>
      <c r="V185" s="269"/>
      <c r="W185" s="269"/>
    </row>
    <row r="186" spans="2:23" x14ac:dyDescent="0.25">
      <c r="B186" s="351"/>
      <c r="C186" s="274" t="s">
        <v>395</v>
      </c>
      <c r="D186" s="275">
        <v>4.3999999999999997E-2</v>
      </c>
      <c r="E186" s="274">
        <v>0.96789999999999998</v>
      </c>
      <c r="F186" s="274">
        <v>0.43</v>
      </c>
      <c r="G186" s="301">
        <v>35.76</v>
      </c>
      <c r="H186" s="302">
        <v>1</v>
      </c>
      <c r="I186" s="274">
        <v>64.5</v>
      </c>
      <c r="J186" s="276">
        <f t="shared" si="157"/>
        <v>64.5</v>
      </c>
      <c r="K186" s="301">
        <v>1069.056</v>
      </c>
      <c r="L186" s="279">
        <f t="shared" ref="L186" si="164">(D186/E186)*F186*G186*J186*K186</f>
        <v>48200.142508183075</v>
      </c>
      <c r="M186" s="297">
        <f t="shared" ref="M186" si="165">(L186*60)/1000000</f>
        <v>2.8920085504909845</v>
      </c>
      <c r="N186" s="306">
        <f t="shared" ref="N186" si="166">K186/1000</f>
        <v>1.069056</v>
      </c>
      <c r="O186" s="280">
        <f t="shared" ref="O186" si="167">M186/N186</f>
        <v>2.7051983717326169</v>
      </c>
      <c r="P186" s="352"/>
      <c r="Q186" s="303">
        <f t="shared" si="162"/>
        <v>1.3377647628447991</v>
      </c>
      <c r="R186" s="354"/>
      <c r="S186" s="280">
        <f t="shared" si="163"/>
        <v>0.24915964633002091</v>
      </c>
      <c r="T186" s="356"/>
      <c r="V186" s="269"/>
      <c r="W186" s="269"/>
    </row>
    <row r="187" spans="2:23" ht="63" x14ac:dyDescent="0.25">
      <c r="B187" s="351"/>
      <c r="C187" s="274"/>
      <c r="D187" s="292" t="s">
        <v>427</v>
      </c>
      <c r="E187" s="292" t="s">
        <v>403</v>
      </c>
      <c r="F187" s="292" t="s">
        <v>428</v>
      </c>
      <c r="G187" s="304" t="s">
        <v>404</v>
      </c>
      <c r="H187" s="301"/>
      <c r="I187" s="270"/>
      <c r="J187" s="270"/>
      <c r="K187" s="304" t="s">
        <v>408</v>
      </c>
      <c r="L187" s="357" t="s">
        <v>409</v>
      </c>
      <c r="M187" s="357"/>
      <c r="N187" s="270" t="s">
        <v>408</v>
      </c>
      <c r="O187" s="260" t="s">
        <v>429</v>
      </c>
      <c r="P187" s="352"/>
      <c r="Q187" s="270" t="s">
        <v>411</v>
      </c>
      <c r="R187" s="354"/>
      <c r="S187" s="271" t="s">
        <v>413</v>
      </c>
      <c r="T187" s="356"/>
      <c r="V187" s="269"/>
      <c r="W187" s="269"/>
    </row>
    <row r="188" spans="2:23" x14ac:dyDescent="0.25">
      <c r="B188" s="351"/>
      <c r="C188" s="270"/>
      <c r="D188" s="292" t="s">
        <v>430</v>
      </c>
      <c r="E188" s="292" t="s">
        <v>417</v>
      </c>
      <c r="F188" s="292" t="s">
        <v>417</v>
      </c>
      <c r="G188" s="304" t="s">
        <v>418</v>
      </c>
      <c r="H188" s="301"/>
      <c r="I188" s="270"/>
      <c r="J188" s="270"/>
      <c r="K188" s="304" t="s">
        <v>420</v>
      </c>
      <c r="L188" s="292" t="s">
        <v>421</v>
      </c>
      <c r="M188" s="292" t="s">
        <v>338</v>
      </c>
      <c r="N188" s="270" t="s">
        <v>422</v>
      </c>
      <c r="O188" s="273" t="s">
        <v>423</v>
      </c>
      <c r="P188" s="352"/>
      <c r="Q188" s="305"/>
      <c r="R188" s="354"/>
      <c r="S188" s="271"/>
      <c r="T188" s="356"/>
      <c r="V188" s="269"/>
    </row>
    <row r="189" spans="2:23" x14ac:dyDescent="0.25">
      <c r="B189" s="351"/>
      <c r="C189" s="274" t="s">
        <v>396</v>
      </c>
      <c r="D189" s="275">
        <v>9.16</v>
      </c>
      <c r="E189" s="274">
        <v>0.96599999999999997</v>
      </c>
      <c r="F189" s="274">
        <v>1</v>
      </c>
      <c r="G189" s="301">
        <v>35.76</v>
      </c>
      <c r="H189" s="301">
        <v>0.97054151624548746</v>
      </c>
      <c r="I189" s="285"/>
      <c r="J189" s="274"/>
      <c r="K189" s="301">
        <v>1069.056</v>
      </c>
      <c r="L189" s="279">
        <f>(D189/E189)*F189*G189*K189*H189</f>
        <v>351828.02495880314</v>
      </c>
      <c r="M189" s="297">
        <f t="shared" ref="M189" si="168">(L189*60)/1000000</f>
        <v>21.109681497528189</v>
      </c>
      <c r="N189" s="277">
        <f>K189/1000</f>
        <v>1.069056</v>
      </c>
      <c r="O189" s="280">
        <f t="shared" ref="O189" si="169">M189/N189</f>
        <v>19.746095150794897</v>
      </c>
      <c r="P189" s="352"/>
      <c r="Q189" s="303">
        <f>(O189/$P$148)*100</f>
        <v>9.7647664483826286</v>
      </c>
      <c r="R189" s="355"/>
      <c r="S189" s="280">
        <f>(Q189/100)*$R$148</f>
        <v>1.8186947528805055</v>
      </c>
      <c r="T189" s="356"/>
    </row>
    <row r="192" spans="2:23" ht="63" x14ac:dyDescent="0.25">
      <c r="B192" s="358" t="s">
        <v>400</v>
      </c>
      <c r="C192" s="358" t="s">
        <v>401</v>
      </c>
      <c r="D192" s="270" t="s">
        <v>402</v>
      </c>
      <c r="E192" s="270" t="s">
        <v>403</v>
      </c>
      <c r="F192" s="270" t="s">
        <v>386</v>
      </c>
      <c r="G192" s="301" t="s">
        <v>404</v>
      </c>
      <c r="H192" s="301" t="s">
        <v>405</v>
      </c>
      <c r="I192" s="270" t="s">
        <v>406</v>
      </c>
      <c r="J192" s="270" t="s">
        <v>407</v>
      </c>
      <c r="K192" s="301" t="s">
        <v>408</v>
      </c>
      <c r="L192" s="358" t="s">
        <v>409</v>
      </c>
      <c r="M192" s="358"/>
      <c r="N192" s="270" t="s">
        <v>408</v>
      </c>
      <c r="O192" s="358" t="s">
        <v>410</v>
      </c>
      <c r="P192" s="358"/>
      <c r="Q192" s="270" t="s">
        <v>411</v>
      </c>
      <c r="R192" s="270" t="s">
        <v>412</v>
      </c>
      <c r="S192" s="271" t="s">
        <v>413</v>
      </c>
      <c r="T192" s="270" t="s">
        <v>410</v>
      </c>
    </row>
    <row r="193" spans="2:20" x14ac:dyDescent="0.25">
      <c r="B193" s="358"/>
      <c r="C193" s="358"/>
      <c r="D193" s="270" t="s">
        <v>416</v>
      </c>
      <c r="E193" s="270" t="s">
        <v>417</v>
      </c>
      <c r="F193" s="270" t="s">
        <v>417</v>
      </c>
      <c r="G193" s="301" t="s">
        <v>418</v>
      </c>
      <c r="H193" s="301" t="s">
        <v>417</v>
      </c>
      <c r="I193" s="270" t="s">
        <v>419</v>
      </c>
      <c r="J193" s="270" t="s">
        <v>419</v>
      </c>
      <c r="K193" s="301" t="s">
        <v>420</v>
      </c>
      <c r="L193" s="270" t="s">
        <v>421</v>
      </c>
      <c r="M193" s="270" t="s">
        <v>338</v>
      </c>
      <c r="N193" s="270" t="s">
        <v>422</v>
      </c>
      <c r="O193" s="273" t="s">
        <v>423</v>
      </c>
      <c r="P193" s="270" t="s">
        <v>423</v>
      </c>
      <c r="Q193" s="270"/>
      <c r="R193" s="270" t="s">
        <v>423</v>
      </c>
      <c r="S193" s="270" t="s">
        <v>423</v>
      </c>
      <c r="T193" s="270" t="s">
        <v>423</v>
      </c>
    </row>
    <row r="194" spans="2:20" x14ac:dyDescent="0.25">
      <c r="B194" s="351">
        <v>15</v>
      </c>
      <c r="C194" s="274" t="s">
        <v>389</v>
      </c>
      <c r="D194" s="275">
        <v>4.8</v>
      </c>
      <c r="E194" s="274">
        <v>0.96899999999999997</v>
      </c>
      <c r="F194" s="274">
        <v>0.43</v>
      </c>
      <c r="G194" s="301">
        <v>36.863</v>
      </c>
      <c r="H194" s="302">
        <v>1</v>
      </c>
      <c r="I194" s="274">
        <v>39</v>
      </c>
      <c r="J194" s="276">
        <f>H194*I194</f>
        <v>39</v>
      </c>
      <c r="K194" s="301">
        <v>1184.81</v>
      </c>
      <c r="L194" s="279">
        <f>(D194/E194)*F194*G194*J194*K194</f>
        <v>3628189.0663682972</v>
      </c>
      <c r="M194" s="297">
        <f>(L194*60)/1000000</f>
        <v>217.69134398209783</v>
      </c>
      <c r="N194" s="277">
        <f>K194/1000</f>
        <v>1.1848099999999999</v>
      </c>
      <c r="O194" s="280">
        <f>M194/N194</f>
        <v>183.73523517027866</v>
      </c>
      <c r="P194" s="352">
        <f>SUM(O194:O201)</f>
        <v>219.66968543912924</v>
      </c>
      <c r="Q194" s="303">
        <f>(O194/$P$148)*100</f>
        <v>90.860073653813231</v>
      </c>
      <c r="R194" s="353">
        <f>$T$22/($P$22/P194)</f>
        <v>20.23246121443777</v>
      </c>
      <c r="S194" s="280">
        <f>(Q194/100)*$R$148</f>
        <v>16.922753869642911</v>
      </c>
      <c r="T194" s="356">
        <f>SUM(S194:S201)</f>
        <v>20.23246121443777</v>
      </c>
    </row>
    <row r="195" spans="2:20" x14ac:dyDescent="0.25">
      <c r="B195" s="351"/>
      <c r="C195" s="274" t="s">
        <v>391</v>
      </c>
      <c r="D195" s="275">
        <v>5.2299999999999999E-2</v>
      </c>
      <c r="E195" s="274">
        <v>0.94299999999999995</v>
      </c>
      <c r="F195" s="274">
        <v>0.43</v>
      </c>
      <c r="G195" s="301">
        <v>36.863</v>
      </c>
      <c r="H195" s="302">
        <v>0.99032872796569793</v>
      </c>
      <c r="I195" s="274">
        <v>16</v>
      </c>
      <c r="J195" s="276">
        <f t="shared" ref="J195:J198" si="170">H195*I195</f>
        <v>15.845259647451167</v>
      </c>
      <c r="K195" s="301">
        <v>1184.81</v>
      </c>
      <c r="L195" s="279">
        <f t="shared" ref="L195:L197" si="171">(D195/E195)*F195*G195*J195*K195</f>
        <v>16504.303416332601</v>
      </c>
      <c r="M195" s="297">
        <f t="shared" ref="M195:M197" si="172">(L195*60)/1000000</f>
        <v>0.99025820497995598</v>
      </c>
      <c r="N195" s="277">
        <f t="shared" ref="N195:N197" si="173">K195/1000</f>
        <v>1.1848099999999999</v>
      </c>
      <c r="O195" s="280">
        <f t="shared" ref="O195:O197" si="174">M195/N195</f>
        <v>0.83579494178809766</v>
      </c>
      <c r="P195" s="352"/>
      <c r="Q195" s="303">
        <f t="shared" ref="Q195:Q198" si="175">(O195/$P$148)*100</f>
        <v>0.41331424481522289</v>
      </c>
      <c r="R195" s="354"/>
      <c r="S195" s="280">
        <f t="shared" ref="S195:S198" si="176">(Q195/100)*$R$148</f>
        <v>7.6980074465654025E-2</v>
      </c>
      <c r="T195" s="356"/>
    </row>
    <row r="196" spans="2:20" x14ac:dyDescent="0.25">
      <c r="B196" s="351"/>
      <c r="C196" s="274" t="s">
        <v>425</v>
      </c>
      <c r="D196" s="275">
        <v>9.8000000000000004E-2</v>
      </c>
      <c r="E196" s="274">
        <v>0.99539999999999995</v>
      </c>
      <c r="F196" s="274">
        <v>0.78</v>
      </c>
      <c r="G196" s="301">
        <v>36.863</v>
      </c>
      <c r="H196" s="302">
        <v>1</v>
      </c>
      <c r="I196" s="274">
        <v>61</v>
      </c>
      <c r="J196" s="276">
        <f t="shared" si="170"/>
        <v>61</v>
      </c>
      <c r="K196" s="301">
        <v>1184.81</v>
      </c>
      <c r="L196" s="279">
        <f t="shared" si="171"/>
        <v>204593.70368567933</v>
      </c>
      <c r="M196" s="297">
        <f t="shared" si="172"/>
        <v>12.275622221140759</v>
      </c>
      <c r="N196" s="277">
        <f t="shared" si="173"/>
        <v>1.1848099999999999</v>
      </c>
      <c r="O196" s="280">
        <f t="shared" si="174"/>
        <v>10.360836101265823</v>
      </c>
      <c r="P196" s="352"/>
      <c r="Q196" s="303">
        <f t="shared" si="175"/>
        <v>5.1236026144014222</v>
      </c>
      <c r="R196" s="354"/>
      <c r="S196" s="280">
        <f t="shared" si="176"/>
        <v>0.95427466083432277</v>
      </c>
      <c r="T196" s="356"/>
    </row>
    <row r="197" spans="2:20" x14ac:dyDescent="0.25">
      <c r="B197" s="351"/>
      <c r="C197" s="274" t="s">
        <v>426</v>
      </c>
      <c r="D197" s="275">
        <v>0.2286</v>
      </c>
      <c r="E197" s="274">
        <v>0.97499999999999998</v>
      </c>
      <c r="F197" s="274">
        <v>0.25</v>
      </c>
      <c r="G197" s="301">
        <v>36.863</v>
      </c>
      <c r="H197" s="302">
        <v>1</v>
      </c>
      <c r="I197" s="274">
        <v>11</v>
      </c>
      <c r="J197" s="276">
        <f t="shared" si="170"/>
        <v>11</v>
      </c>
      <c r="K197" s="301">
        <v>1184.81</v>
      </c>
      <c r="L197" s="279">
        <f t="shared" si="171"/>
        <v>28160.715917958463</v>
      </c>
      <c r="M197" s="297">
        <f t="shared" si="172"/>
        <v>1.6896429550775078</v>
      </c>
      <c r="N197" s="277">
        <f t="shared" si="173"/>
        <v>1.1848099999999999</v>
      </c>
      <c r="O197" s="280">
        <f t="shared" si="174"/>
        <v>1.4260876892307695</v>
      </c>
      <c r="P197" s="352"/>
      <c r="Q197" s="303">
        <f t="shared" si="175"/>
        <v>0.70522364618968969</v>
      </c>
      <c r="R197" s="354"/>
      <c r="S197" s="280">
        <f t="shared" si="176"/>
        <v>0.13134840978658388</v>
      </c>
      <c r="T197" s="356"/>
    </row>
    <row r="198" spans="2:20" x14ac:dyDescent="0.25">
      <c r="B198" s="351"/>
      <c r="C198" s="274" t="s">
        <v>395</v>
      </c>
      <c r="D198" s="275">
        <v>4.3999999999999997E-2</v>
      </c>
      <c r="E198" s="274">
        <v>0.96789999999999998</v>
      </c>
      <c r="F198" s="274">
        <v>0.43</v>
      </c>
      <c r="G198" s="301">
        <v>36.863</v>
      </c>
      <c r="H198" s="302">
        <v>1</v>
      </c>
      <c r="I198" s="274">
        <v>64.5</v>
      </c>
      <c r="J198" s="276">
        <f t="shared" si="170"/>
        <v>64.5</v>
      </c>
      <c r="K198" s="301">
        <v>1184.81</v>
      </c>
      <c r="L198" s="279">
        <f t="shared" ref="L198" si="177">(D198/E198)*F198*G198*J198*K198</f>
        <v>55066.787868530002</v>
      </c>
      <c r="M198" s="297">
        <f t="shared" ref="M198" si="178">(L198*60)/1000000</f>
        <v>3.3040072721118001</v>
      </c>
      <c r="N198" s="306">
        <f t="shared" ref="N198" si="179">K198/1000</f>
        <v>1.1848099999999999</v>
      </c>
      <c r="O198" s="280">
        <f t="shared" ref="O198" si="180">M198/N198</f>
        <v>2.7886389143506558</v>
      </c>
      <c r="P198" s="352"/>
      <c r="Q198" s="303">
        <f t="shared" si="175"/>
        <v>1.3790274735108454</v>
      </c>
      <c r="R198" s="354"/>
      <c r="S198" s="280">
        <f t="shared" si="176"/>
        <v>0.25684485577918237</v>
      </c>
      <c r="T198" s="356"/>
    </row>
    <row r="199" spans="2:20" ht="63" x14ac:dyDescent="0.25">
      <c r="B199" s="351"/>
      <c r="C199" s="274"/>
      <c r="D199" s="292" t="s">
        <v>427</v>
      </c>
      <c r="E199" s="292" t="s">
        <v>403</v>
      </c>
      <c r="F199" s="292" t="s">
        <v>428</v>
      </c>
      <c r="G199" s="304" t="s">
        <v>404</v>
      </c>
      <c r="H199" s="301"/>
      <c r="I199" s="270"/>
      <c r="J199" s="270"/>
      <c r="K199" s="304" t="s">
        <v>408</v>
      </c>
      <c r="L199" s="357" t="s">
        <v>409</v>
      </c>
      <c r="M199" s="357"/>
      <c r="N199" s="270" t="s">
        <v>408</v>
      </c>
      <c r="O199" s="260" t="s">
        <v>429</v>
      </c>
      <c r="P199" s="352"/>
      <c r="Q199" s="270" t="s">
        <v>411</v>
      </c>
      <c r="R199" s="354"/>
      <c r="S199" s="271" t="s">
        <v>413</v>
      </c>
      <c r="T199" s="356"/>
    </row>
    <row r="200" spans="2:20" x14ac:dyDescent="0.25">
      <c r="B200" s="351"/>
      <c r="C200" s="270"/>
      <c r="D200" s="292" t="s">
        <v>430</v>
      </c>
      <c r="E200" s="292" t="s">
        <v>417</v>
      </c>
      <c r="F200" s="292" t="s">
        <v>417</v>
      </c>
      <c r="G200" s="304" t="s">
        <v>418</v>
      </c>
      <c r="H200" s="301"/>
      <c r="I200" s="270"/>
      <c r="J200" s="270"/>
      <c r="K200" s="304" t="s">
        <v>420</v>
      </c>
      <c r="L200" s="292" t="s">
        <v>421</v>
      </c>
      <c r="M200" s="292" t="s">
        <v>338</v>
      </c>
      <c r="N200" s="270" t="s">
        <v>422</v>
      </c>
      <c r="O200" s="273" t="s">
        <v>423</v>
      </c>
      <c r="P200" s="352"/>
      <c r="Q200" s="305"/>
      <c r="R200" s="354"/>
      <c r="S200" s="271"/>
      <c r="T200" s="356"/>
    </row>
    <row r="201" spans="2:20" x14ac:dyDescent="0.25">
      <c r="B201" s="351"/>
      <c r="C201" s="274" t="s">
        <v>396</v>
      </c>
      <c r="D201" s="275">
        <v>9.16</v>
      </c>
      <c r="E201" s="274">
        <v>0.96599999999999997</v>
      </c>
      <c r="F201" s="274">
        <v>1</v>
      </c>
      <c r="G201" s="301">
        <v>36.863</v>
      </c>
      <c r="H201" s="301">
        <v>0.97854889589905369</v>
      </c>
      <c r="I201" s="285"/>
      <c r="J201" s="274"/>
      <c r="K201" s="301">
        <v>1184.81</v>
      </c>
      <c r="L201" s="279">
        <f>(D201/E201)*F201*G201*K201*H201</f>
        <v>405266.08949544758</v>
      </c>
      <c r="M201" s="297">
        <f t="shared" ref="M201" si="181">(L201*60)/1000000</f>
        <v>24.315965369726854</v>
      </c>
      <c r="N201" s="277">
        <f>K201/1000</f>
        <v>1.1848099999999999</v>
      </c>
      <c r="O201" s="280">
        <f t="shared" ref="O201" si="182">M201/N201</f>
        <v>20.523092622215255</v>
      </c>
      <c r="P201" s="352"/>
      <c r="Q201" s="303">
        <f>(O201/$P$148)*100</f>
        <v>10.149004384109288</v>
      </c>
      <c r="R201" s="355"/>
      <c r="S201" s="280">
        <f>(Q201/100)*$R$148</f>
        <v>1.890259343929118</v>
      </c>
      <c r="T201" s="356"/>
    </row>
    <row r="204" spans="2:20" ht="63" x14ac:dyDescent="0.25">
      <c r="B204" s="358" t="s">
        <v>400</v>
      </c>
      <c r="C204" s="358" t="s">
        <v>401</v>
      </c>
      <c r="D204" s="270" t="s">
        <v>402</v>
      </c>
      <c r="E204" s="270" t="s">
        <v>403</v>
      </c>
      <c r="F204" s="270" t="s">
        <v>386</v>
      </c>
      <c r="G204" s="301" t="s">
        <v>404</v>
      </c>
      <c r="H204" s="301" t="s">
        <v>405</v>
      </c>
      <c r="I204" s="270" t="s">
        <v>406</v>
      </c>
      <c r="J204" s="270" t="s">
        <v>407</v>
      </c>
      <c r="K204" s="301" t="s">
        <v>408</v>
      </c>
      <c r="L204" s="358" t="s">
        <v>409</v>
      </c>
      <c r="M204" s="358"/>
      <c r="N204" s="270" t="s">
        <v>408</v>
      </c>
      <c r="O204" s="358" t="s">
        <v>410</v>
      </c>
      <c r="P204" s="358"/>
      <c r="Q204" s="270" t="s">
        <v>411</v>
      </c>
      <c r="R204" s="270" t="s">
        <v>412</v>
      </c>
      <c r="S204" s="271" t="s">
        <v>413</v>
      </c>
      <c r="T204" s="270" t="s">
        <v>410</v>
      </c>
    </row>
    <row r="205" spans="2:20" x14ac:dyDescent="0.25">
      <c r="B205" s="358"/>
      <c r="C205" s="358"/>
      <c r="D205" s="270" t="s">
        <v>416</v>
      </c>
      <c r="E205" s="270" t="s">
        <v>417</v>
      </c>
      <c r="F205" s="270" t="s">
        <v>417</v>
      </c>
      <c r="G205" s="301" t="s">
        <v>418</v>
      </c>
      <c r="H205" s="301" t="s">
        <v>417</v>
      </c>
      <c r="I205" s="270" t="s">
        <v>419</v>
      </c>
      <c r="J205" s="270" t="s">
        <v>419</v>
      </c>
      <c r="K205" s="301" t="s">
        <v>420</v>
      </c>
      <c r="L205" s="270" t="s">
        <v>421</v>
      </c>
      <c r="M205" s="270" t="s">
        <v>338</v>
      </c>
      <c r="N205" s="270" t="s">
        <v>422</v>
      </c>
      <c r="O205" s="273" t="s">
        <v>423</v>
      </c>
      <c r="P205" s="270" t="s">
        <v>423</v>
      </c>
      <c r="Q205" s="270"/>
      <c r="R205" s="270" t="s">
        <v>423</v>
      </c>
      <c r="S205" s="270" t="s">
        <v>423</v>
      </c>
      <c r="T205" s="270" t="s">
        <v>423</v>
      </c>
    </row>
    <row r="206" spans="2:20" x14ac:dyDescent="0.25">
      <c r="B206" s="351">
        <v>19</v>
      </c>
      <c r="C206" s="274" t="s">
        <v>389</v>
      </c>
      <c r="D206" s="275">
        <v>4.8</v>
      </c>
      <c r="E206" s="274">
        <v>0.96899999999999997</v>
      </c>
      <c r="F206" s="274">
        <v>0.43</v>
      </c>
      <c r="G206" s="301">
        <v>38.590000000000003</v>
      </c>
      <c r="H206" s="302">
        <v>1</v>
      </c>
      <c r="I206" s="274">
        <v>39</v>
      </c>
      <c r="J206" s="276">
        <f>H206*I206</f>
        <v>39</v>
      </c>
      <c r="K206" s="301">
        <v>1283.0129999999999</v>
      </c>
      <c r="L206" s="279">
        <f>(D206/E206)*F206*G206*J206*K206</f>
        <v>4112977.7332800003</v>
      </c>
      <c r="M206" s="297">
        <f>(L206*60)/1000000</f>
        <v>246.77866399679999</v>
      </c>
      <c r="N206" s="277">
        <f>K206/1000</f>
        <v>1.283013</v>
      </c>
      <c r="O206" s="280">
        <f>M206/N206</f>
        <v>192.34307368421054</v>
      </c>
      <c r="P206" s="352">
        <f>SUM(O206:O213)</f>
        <v>230.21489863870056</v>
      </c>
      <c r="Q206" s="303">
        <f>(O206/$P$148)*100</f>
        <v>95.116790339924933</v>
      </c>
      <c r="R206" s="353">
        <f>$T$22/($P$22/P206)</f>
        <v>21.203717747317111</v>
      </c>
      <c r="S206" s="280">
        <f>(Q206/100)*$R$148</f>
        <v>17.715570404728862</v>
      </c>
      <c r="T206" s="356">
        <f>SUM(S206:S213)</f>
        <v>21.203717747317114</v>
      </c>
    </row>
    <row r="207" spans="2:20" x14ac:dyDescent="0.25">
      <c r="B207" s="351"/>
      <c r="C207" s="274" t="s">
        <v>391</v>
      </c>
      <c r="D207" s="275">
        <v>5.2299999999999999E-2</v>
      </c>
      <c r="E207" s="274">
        <v>0.94299999999999995</v>
      </c>
      <c r="F207" s="274">
        <v>0.43</v>
      </c>
      <c r="G207" s="301">
        <v>38.590000000000003</v>
      </c>
      <c r="H207" s="302">
        <v>1</v>
      </c>
      <c r="I207" s="274">
        <v>16</v>
      </c>
      <c r="J207" s="276">
        <f t="shared" ref="J207:J210" si="183">H207*I207</f>
        <v>16</v>
      </c>
      <c r="K207" s="301">
        <v>1283.0129999999999</v>
      </c>
      <c r="L207" s="279">
        <f t="shared" ref="L207:L209" si="184">(D207/E207)*F207*G207*J207*K207</f>
        <v>18892.275484820871</v>
      </c>
      <c r="M207" s="297">
        <f t="shared" ref="M207:M209" si="185">(L207*60)/1000000</f>
        <v>1.1335365290892523</v>
      </c>
      <c r="N207" s="277">
        <f t="shared" ref="N207:N209" si="186">K207/1000</f>
        <v>1.283013</v>
      </c>
      <c r="O207" s="280">
        <f t="shared" ref="O207:O209" si="187">M207/N207</f>
        <v>0.88349574718981982</v>
      </c>
      <c r="P207" s="352"/>
      <c r="Q207" s="303">
        <f t="shared" ref="Q207:Q210" si="188">(O207/$P$148)*100</f>
        <v>0.43690307190181854</v>
      </c>
      <c r="R207" s="354"/>
      <c r="S207" s="280">
        <f t="shared" ref="S207:S210" si="189">(Q207/100)*$R$148</f>
        <v>8.1373510425005902E-2</v>
      </c>
      <c r="T207" s="356"/>
    </row>
    <row r="208" spans="2:20" x14ac:dyDescent="0.25">
      <c r="B208" s="351"/>
      <c r="C208" s="274" t="s">
        <v>425</v>
      </c>
      <c r="D208" s="275">
        <v>9.8000000000000004E-2</v>
      </c>
      <c r="E208" s="274">
        <v>0.99539999999999995</v>
      </c>
      <c r="F208" s="274">
        <v>0.78</v>
      </c>
      <c r="G208" s="301">
        <v>38.590000000000003</v>
      </c>
      <c r="H208" s="302">
        <v>1</v>
      </c>
      <c r="I208" s="274">
        <v>61</v>
      </c>
      <c r="J208" s="276">
        <f t="shared" si="183"/>
        <v>61</v>
      </c>
      <c r="K208" s="301">
        <v>1283.0129999999999</v>
      </c>
      <c r="L208" s="279">
        <f t="shared" si="184"/>
        <v>231930.95294529121</v>
      </c>
      <c r="M208" s="297">
        <f t="shared" si="185"/>
        <v>13.915857176717473</v>
      </c>
      <c r="N208" s="277">
        <f t="shared" si="186"/>
        <v>1.283013</v>
      </c>
      <c r="O208" s="280">
        <f t="shared" si="187"/>
        <v>10.846232405063295</v>
      </c>
      <c r="P208" s="352"/>
      <c r="Q208" s="303">
        <f t="shared" si="188"/>
        <v>5.3636390117394397</v>
      </c>
      <c r="R208" s="354"/>
      <c r="S208" s="280">
        <f t="shared" si="189"/>
        <v>0.99898161195769564</v>
      </c>
      <c r="T208" s="356"/>
    </row>
    <row r="209" spans="2:20" x14ac:dyDescent="0.25">
      <c r="B209" s="351"/>
      <c r="C209" s="274" t="s">
        <v>426</v>
      </c>
      <c r="D209" s="275">
        <v>0.2286</v>
      </c>
      <c r="E209" s="274">
        <v>0.97499999999999998</v>
      </c>
      <c r="F209" s="274">
        <v>0.25</v>
      </c>
      <c r="G209" s="301">
        <v>38.590000000000003</v>
      </c>
      <c r="H209" s="302">
        <v>1</v>
      </c>
      <c r="I209" s="274">
        <v>11</v>
      </c>
      <c r="J209" s="276">
        <f t="shared" si="183"/>
        <v>11</v>
      </c>
      <c r="K209" s="301">
        <v>1283.0129999999999</v>
      </c>
      <c r="L209" s="279">
        <f t="shared" si="184"/>
        <v>31923.473502918463</v>
      </c>
      <c r="M209" s="297">
        <f t="shared" si="185"/>
        <v>1.9154084101751079</v>
      </c>
      <c r="N209" s="277">
        <f t="shared" si="186"/>
        <v>1.283013</v>
      </c>
      <c r="O209" s="280">
        <f t="shared" si="187"/>
        <v>1.4928986769230772</v>
      </c>
      <c r="P209" s="352"/>
      <c r="Q209" s="303">
        <f t="shared" si="188"/>
        <v>0.73826277043268673</v>
      </c>
      <c r="R209" s="354"/>
      <c r="S209" s="280">
        <f t="shared" si="189"/>
        <v>0.13750197036769315</v>
      </c>
      <c r="T209" s="356"/>
    </row>
    <row r="210" spans="2:20" x14ac:dyDescent="0.25">
      <c r="B210" s="351"/>
      <c r="C210" s="274" t="s">
        <v>395</v>
      </c>
      <c r="D210" s="275">
        <v>4.3999999999999997E-2</v>
      </c>
      <c r="E210" s="274">
        <v>0.96789999999999998</v>
      </c>
      <c r="F210" s="274">
        <v>0.43</v>
      </c>
      <c r="G210" s="301">
        <v>38.590000000000003</v>
      </c>
      <c r="H210" s="302">
        <v>1</v>
      </c>
      <c r="I210" s="274">
        <v>64.5</v>
      </c>
      <c r="J210" s="276">
        <f t="shared" si="183"/>
        <v>64.5</v>
      </c>
      <c r="K210" s="301">
        <v>1283.0129999999999</v>
      </c>
      <c r="L210" s="279">
        <f t="shared" ref="L210" si="190">(D210/E210)*F210*G210*J210*K210</f>
        <v>62424.660954404164</v>
      </c>
      <c r="M210" s="297">
        <f t="shared" ref="M210" si="191">(L210*60)/1000000</f>
        <v>3.7454796572642497</v>
      </c>
      <c r="N210" s="306">
        <f t="shared" ref="N210" si="192">K210/1000</f>
        <v>1.283013</v>
      </c>
      <c r="O210" s="280">
        <f t="shared" ref="O210" si="193">M210/N210</f>
        <v>2.9192842607707403</v>
      </c>
      <c r="P210" s="352"/>
      <c r="Q210" s="303">
        <f t="shared" si="188"/>
        <v>1.4436337303741833</v>
      </c>
      <c r="R210" s="354"/>
      <c r="S210" s="280">
        <f t="shared" si="189"/>
        <v>0.26887781744618305</v>
      </c>
      <c r="T210" s="356"/>
    </row>
    <row r="211" spans="2:20" ht="63" x14ac:dyDescent="0.25">
      <c r="B211" s="351"/>
      <c r="C211" s="274"/>
      <c r="D211" s="292" t="s">
        <v>427</v>
      </c>
      <c r="E211" s="292" t="s">
        <v>403</v>
      </c>
      <c r="F211" s="292" t="s">
        <v>428</v>
      </c>
      <c r="G211" s="304" t="s">
        <v>404</v>
      </c>
      <c r="H211" s="301"/>
      <c r="I211" s="270"/>
      <c r="J211" s="270"/>
      <c r="K211" s="304" t="s">
        <v>408</v>
      </c>
      <c r="L211" s="357" t="s">
        <v>409</v>
      </c>
      <c r="M211" s="357"/>
      <c r="N211" s="270" t="s">
        <v>408</v>
      </c>
      <c r="O211" s="260" t="s">
        <v>429</v>
      </c>
      <c r="P211" s="352"/>
      <c r="Q211" s="270" t="s">
        <v>411</v>
      </c>
      <c r="R211" s="354"/>
      <c r="S211" s="271" t="s">
        <v>413</v>
      </c>
      <c r="T211" s="356"/>
    </row>
    <row r="212" spans="2:20" x14ac:dyDescent="0.25">
      <c r="B212" s="351"/>
      <c r="C212" s="270"/>
      <c r="D212" s="292" t="s">
        <v>430</v>
      </c>
      <c r="E212" s="292" t="s">
        <v>417</v>
      </c>
      <c r="F212" s="292" t="s">
        <v>417</v>
      </c>
      <c r="G212" s="304" t="s">
        <v>418</v>
      </c>
      <c r="H212" s="301"/>
      <c r="I212" s="270"/>
      <c r="J212" s="270"/>
      <c r="K212" s="304" t="s">
        <v>420</v>
      </c>
      <c r="L212" s="292" t="s">
        <v>421</v>
      </c>
      <c r="M212" s="292" t="s">
        <v>338</v>
      </c>
      <c r="N212" s="270" t="s">
        <v>422</v>
      </c>
      <c r="O212" s="273" t="s">
        <v>423</v>
      </c>
      <c r="P212" s="352"/>
      <c r="Q212" s="305"/>
      <c r="R212" s="354"/>
      <c r="S212" s="271"/>
      <c r="T212" s="356"/>
    </row>
    <row r="213" spans="2:20" x14ac:dyDescent="0.25">
      <c r="B213" s="351"/>
      <c r="C213" s="274" t="s">
        <v>396</v>
      </c>
      <c r="D213" s="275">
        <v>9.16</v>
      </c>
      <c r="E213" s="274">
        <v>0.96599999999999997</v>
      </c>
      <c r="F213" s="274">
        <v>1</v>
      </c>
      <c r="G213" s="301">
        <v>38.590000000000003</v>
      </c>
      <c r="H213" s="301">
        <v>0.98972292191435762</v>
      </c>
      <c r="I213" s="285"/>
      <c r="J213" s="274"/>
      <c r="K213" s="301">
        <v>1283.0129999999999</v>
      </c>
      <c r="L213" s="279">
        <f>(D213/E213)*F213*G213*K213*H213</f>
        <v>464662.69961815013</v>
      </c>
      <c r="M213" s="297">
        <f t="shared" ref="M213" si="194">(L213*60)/1000000</f>
        <v>27.879761977089007</v>
      </c>
      <c r="N213" s="277">
        <f>K213/1000</f>
        <v>1.283013</v>
      </c>
      <c r="O213" s="280">
        <f t="shared" ref="O213" si="195">M213/N213</f>
        <v>21.729913864543079</v>
      </c>
      <c r="P213" s="352"/>
      <c r="Q213" s="303">
        <f>(O213/$P$148)*100</f>
        <v>10.745797192321993</v>
      </c>
      <c r="R213" s="355"/>
      <c r="S213" s="280">
        <f>(Q213/100)*$R$148</f>
        <v>2.0014124323916733</v>
      </c>
      <c r="T213" s="356"/>
    </row>
    <row r="216" spans="2:20" ht="63" x14ac:dyDescent="0.25">
      <c r="B216" s="358" t="s">
        <v>400</v>
      </c>
      <c r="C216" s="358" t="s">
        <v>401</v>
      </c>
      <c r="D216" s="270" t="s">
        <v>402</v>
      </c>
      <c r="E216" s="270" t="s">
        <v>403</v>
      </c>
      <c r="F216" s="270" t="s">
        <v>386</v>
      </c>
      <c r="G216" s="301" t="s">
        <v>404</v>
      </c>
      <c r="H216" s="301" t="s">
        <v>405</v>
      </c>
      <c r="I216" s="270" t="s">
        <v>406</v>
      </c>
      <c r="J216" s="270" t="s">
        <v>407</v>
      </c>
      <c r="K216" s="301" t="s">
        <v>408</v>
      </c>
      <c r="L216" s="358" t="s">
        <v>409</v>
      </c>
      <c r="M216" s="358"/>
      <c r="N216" s="270" t="s">
        <v>408</v>
      </c>
      <c r="O216" s="358" t="s">
        <v>410</v>
      </c>
      <c r="P216" s="358"/>
      <c r="Q216" s="270" t="s">
        <v>411</v>
      </c>
      <c r="R216" s="270" t="s">
        <v>412</v>
      </c>
      <c r="S216" s="271" t="s">
        <v>413</v>
      </c>
      <c r="T216" s="270" t="s">
        <v>410</v>
      </c>
    </row>
    <row r="217" spans="2:20" x14ac:dyDescent="0.25">
      <c r="B217" s="358"/>
      <c r="C217" s="358"/>
      <c r="D217" s="270" t="s">
        <v>416</v>
      </c>
      <c r="E217" s="270" t="s">
        <v>417</v>
      </c>
      <c r="F217" s="270" t="s">
        <v>417</v>
      </c>
      <c r="G217" s="301" t="s">
        <v>418</v>
      </c>
      <c r="H217" s="301" t="s">
        <v>417</v>
      </c>
      <c r="I217" s="270" t="s">
        <v>419</v>
      </c>
      <c r="J217" s="270" t="s">
        <v>419</v>
      </c>
      <c r="K217" s="301" t="s">
        <v>420</v>
      </c>
      <c r="L217" s="270" t="s">
        <v>421</v>
      </c>
      <c r="M217" s="270" t="s">
        <v>338</v>
      </c>
      <c r="N217" s="270" t="s">
        <v>422</v>
      </c>
      <c r="O217" s="273" t="s">
        <v>423</v>
      </c>
      <c r="P217" s="270" t="s">
        <v>423</v>
      </c>
      <c r="Q217" s="270"/>
      <c r="R217" s="270" t="s">
        <v>423</v>
      </c>
      <c r="S217" s="270" t="s">
        <v>423</v>
      </c>
      <c r="T217" s="270" t="s">
        <v>423</v>
      </c>
    </row>
    <row r="218" spans="2:20" x14ac:dyDescent="0.25">
      <c r="B218" s="351">
        <v>20</v>
      </c>
      <c r="C218" s="274" t="s">
        <v>389</v>
      </c>
      <c r="D218" s="275">
        <v>4.8</v>
      </c>
      <c r="E218" s="274">
        <v>0.96899999999999997</v>
      </c>
      <c r="F218" s="274">
        <v>0.43</v>
      </c>
      <c r="G218" s="301">
        <v>38.921999999999997</v>
      </c>
      <c r="H218" s="302">
        <v>1</v>
      </c>
      <c r="I218" s="274">
        <v>39</v>
      </c>
      <c r="J218" s="276">
        <f>H218*I218</f>
        <v>39</v>
      </c>
      <c r="K218" s="301">
        <v>1292.518</v>
      </c>
      <c r="L218" s="279">
        <f>(D218/E218)*F218*G218*J218*K218</f>
        <v>4179095.2641234426</v>
      </c>
      <c r="M218" s="297">
        <f>(L218*60)/1000000</f>
        <v>250.74571584740656</v>
      </c>
      <c r="N218" s="277">
        <f>K218/1000</f>
        <v>1.2925180000000001</v>
      </c>
      <c r="O218" s="280">
        <f>M218/N218</f>
        <v>193.99785213622289</v>
      </c>
      <c r="P218" s="352">
        <f>SUM(O218:O225)</f>
        <v>232.24252439715295</v>
      </c>
      <c r="Q218" s="303">
        <f>(O218/$P$148)*100</f>
        <v>95.935105302165269</v>
      </c>
      <c r="R218" s="353">
        <f>$T$22/($P$22/P218)</f>
        <v>21.390470231772465</v>
      </c>
      <c r="S218" s="280">
        <f>(Q218/100)*$R$148</f>
        <v>17.86798215322251</v>
      </c>
      <c r="T218" s="356">
        <f>SUM(S218:S225)</f>
        <v>21.390470231772465</v>
      </c>
    </row>
    <row r="219" spans="2:20" x14ac:dyDescent="0.25">
      <c r="B219" s="351"/>
      <c r="C219" s="274" t="s">
        <v>391</v>
      </c>
      <c r="D219" s="275">
        <v>5.2299999999999999E-2</v>
      </c>
      <c r="E219" s="274">
        <v>0.94299999999999995</v>
      </c>
      <c r="F219" s="274">
        <v>0.43</v>
      </c>
      <c r="G219" s="301">
        <v>38.921999999999997</v>
      </c>
      <c r="H219" s="302">
        <v>1</v>
      </c>
      <c r="I219" s="274">
        <v>16</v>
      </c>
      <c r="J219" s="276">
        <f t="shared" ref="J219:J222" si="196">H219*I219</f>
        <v>16</v>
      </c>
      <c r="K219" s="301">
        <v>1292.518</v>
      </c>
      <c r="L219" s="279">
        <f t="shared" ref="L219:L221" si="197">(D219/E219)*F219*G219*J219*K219</f>
        <v>19195.975307205834</v>
      </c>
      <c r="M219" s="297">
        <f t="shared" ref="M219:M221" si="198">(L219*60)/1000000</f>
        <v>1.1517585184323502</v>
      </c>
      <c r="N219" s="277">
        <f t="shared" ref="N219:N221" si="199">K219/1000</f>
        <v>1.2925180000000001</v>
      </c>
      <c r="O219" s="280">
        <f t="shared" ref="O219:O221" si="200">M219/N219</f>
        <v>0.89109669531283131</v>
      </c>
      <c r="P219" s="352"/>
      <c r="Q219" s="303">
        <f t="shared" ref="Q219:Q222" si="201">(O219/$P$148)*100</f>
        <v>0.4406618648500279</v>
      </c>
      <c r="R219" s="354"/>
      <c r="S219" s="280">
        <f t="shared" ref="S219:S222" si="202">(Q219/100)*$R$148</f>
        <v>8.2073588306869102E-2</v>
      </c>
      <c r="T219" s="356"/>
    </row>
    <row r="220" spans="2:20" x14ac:dyDescent="0.25">
      <c r="B220" s="351"/>
      <c r="C220" s="274" t="s">
        <v>425</v>
      </c>
      <c r="D220" s="275">
        <v>9.8000000000000004E-2</v>
      </c>
      <c r="E220" s="274">
        <v>0.99539999999999995</v>
      </c>
      <c r="F220" s="274">
        <v>0.78</v>
      </c>
      <c r="G220" s="301">
        <v>38.921999999999997</v>
      </c>
      <c r="H220" s="302">
        <v>1</v>
      </c>
      <c r="I220" s="274">
        <v>61</v>
      </c>
      <c r="J220" s="276">
        <f t="shared" si="196"/>
        <v>61</v>
      </c>
      <c r="K220" s="301">
        <v>1292.518</v>
      </c>
      <c r="L220" s="279">
        <f t="shared" si="197"/>
        <v>235659.32273704308</v>
      </c>
      <c r="M220" s="297">
        <f t="shared" si="198"/>
        <v>14.139559364222585</v>
      </c>
      <c r="N220" s="277">
        <f t="shared" si="199"/>
        <v>1.2925180000000001</v>
      </c>
      <c r="O220" s="280">
        <f t="shared" si="200"/>
        <v>10.93954541772152</v>
      </c>
      <c r="P220" s="352"/>
      <c r="Q220" s="303">
        <f t="shared" si="201"/>
        <v>5.4097838200290855</v>
      </c>
      <c r="R220" s="354"/>
      <c r="S220" s="280">
        <f t="shared" si="202"/>
        <v>1.0075761155899823</v>
      </c>
      <c r="T220" s="356"/>
    </row>
    <row r="221" spans="2:20" x14ac:dyDescent="0.25">
      <c r="B221" s="351"/>
      <c r="C221" s="274" t="s">
        <v>426</v>
      </c>
      <c r="D221" s="275">
        <v>0.2286</v>
      </c>
      <c r="E221" s="274">
        <v>0.97499999999999998</v>
      </c>
      <c r="F221" s="274">
        <v>0.25</v>
      </c>
      <c r="G221" s="301">
        <v>38.921999999999997</v>
      </c>
      <c r="H221" s="302">
        <v>1</v>
      </c>
      <c r="I221" s="274">
        <v>11</v>
      </c>
      <c r="J221" s="276">
        <f t="shared" si="196"/>
        <v>11</v>
      </c>
      <c r="K221" s="301">
        <v>1292.518</v>
      </c>
      <c r="L221" s="279">
        <f t="shared" si="197"/>
        <v>32436.654312744002</v>
      </c>
      <c r="M221" s="297">
        <f t="shared" si="198"/>
        <v>1.9461992587646402</v>
      </c>
      <c r="N221" s="277">
        <f t="shared" si="199"/>
        <v>1.2925180000000001</v>
      </c>
      <c r="O221" s="280">
        <f t="shared" si="200"/>
        <v>1.5057424800000001</v>
      </c>
      <c r="P221" s="352"/>
      <c r="Q221" s="303">
        <f t="shared" si="201"/>
        <v>0.7446142407561811</v>
      </c>
      <c r="R221" s="354"/>
      <c r="S221" s="280">
        <f t="shared" si="202"/>
        <v>0.13868493626979406</v>
      </c>
      <c r="T221" s="356"/>
    </row>
    <row r="222" spans="2:20" x14ac:dyDescent="0.25">
      <c r="B222" s="351"/>
      <c r="C222" s="274" t="s">
        <v>395</v>
      </c>
      <c r="D222" s="275">
        <v>4.3999999999999997E-2</v>
      </c>
      <c r="E222" s="274">
        <v>0.96789999999999998</v>
      </c>
      <c r="F222" s="274">
        <v>0.43</v>
      </c>
      <c r="G222" s="301">
        <v>38.921999999999997</v>
      </c>
      <c r="H222" s="302">
        <v>1</v>
      </c>
      <c r="I222" s="274">
        <v>64.5</v>
      </c>
      <c r="J222" s="276">
        <f t="shared" si="196"/>
        <v>64.5</v>
      </c>
      <c r="K222" s="301">
        <v>1292.518</v>
      </c>
      <c r="L222" s="279">
        <f t="shared" ref="L222" si="203">(D222/E222)*F222*G222*J222*K222</f>
        <v>63428.158836886694</v>
      </c>
      <c r="M222" s="297">
        <f t="shared" ref="M222" si="204">(L222*60)/1000000</f>
        <v>3.8056895302132014</v>
      </c>
      <c r="N222" s="306">
        <f t="shared" ref="N222" si="205">K222/1000</f>
        <v>1.2925180000000001</v>
      </c>
      <c r="O222" s="280">
        <f t="shared" ref="O222" si="206">M222/N222</f>
        <v>2.9443996371525976</v>
      </c>
      <c r="P222" s="352"/>
      <c r="Q222" s="303">
        <f t="shared" si="201"/>
        <v>1.4560536940560755</v>
      </c>
      <c r="R222" s="354"/>
      <c r="S222" s="280">
        <f t="shared" si="202"/>
        <v>0.27119104458772575</v>
      </c>
      <c r="T222" s="356"/>
    </row>
    <row r="223" spans="2:20" ht="63" x14ac:dyDescent="0.25">
      <c r="B223" s="351"/>
      <c r="C223" s="274"/>
      <c r="D223" s="292" t="s">
        <v>427</v>
      </c>
      <c r="E223" s="292" t="s">
        <v>403</v>
      </c>
      <c r="F223" s="292" t="s">
        <v>428</v>
      </c>
      <c r="G223" s="304" t="s">
        <v>404</v>
      </c>
      <c r="H223" s="301"/>
      <c r="I223" s="270"/>
      <c r="J223" s="270"/>
      <c r="K223" s="304" t="s">
        <v>408</v>
      </c>
      <c r="L223" s="357" t="s">
        <v>409</v>
      </c>
      <c r="M223" s="357"/>
      <c r="N223" s="270" t="s">
        <v>408</v>
      </c>
      <c r="O223" s="260" t="s">
        <v>429</v>
      </c>
      <c r="P223" s="352"/>
      <c r="Q223" s="270" t="s">
        <v>411</v>
      </c>
      <c r="R223" s="354"/>
      <c r="S223" s="271" t="s">
        <v>413</v>
      </c>
      <c r="T223" s="356"/>
    </row>
    <row r="224" spans="2:20" x14ac:dyDescent="0.25">
      <c r="B224" s="351"/>
      <c r="C224" s="270"/>
      <c r="D224" s="292" t="s">
        <v>430</v>
      </c>
      <c r="E224" s="292" t="s">
        <v>417</v>
      </c>
      <c r="F224" s="292" t="s">
        <v>417</v>
      </c>
      <c r="G224" s="304" t="s">
        <v>418</v>
      </c>
      <c r="H224" s="301"/>
      <c r="I224" s="270"/>
      <c r="J224" s="270"/>
      <c r="K224" s="304" t="s">
        <v>420</v>
      </c>
      <c r="L224" s="292" t="s">
        <v>421</v>
      </c>
      <c r="M224" s="292" t="s">
        <v>338</v>
      </c>
      <c r="N224" s="270" t="s">
        <v>422</v>
      </c>
      <c r="O224" s="273" t="s">
        <v>423</v>
      </c>
      <c r="P224" s="352"/>
      <c r="Q224" s="305"/>
      <c r="R224" s="354"/>
      <c r="S224" s="271"/>
      <c r="T224" s="356"/>
    </row>
    <row r="225" spans="2:20" x14ac:dyDescent="0.25">
      <c r="B225" s="351"/>
      <c r="C225" s="274" t="s">
        <v>396</v>
      </c>
      <c r="D225" s="275">
        <v>9.16</v>
      </c>
      <c r="E225" s="274">
        <v>0.96599999999999997</v>
      </c>
      <c r="F225" s="274">
        <v>1</v>
      </c>
      <c r="G225" s="301">
        <v>38.921999999999997</v>
      </c>
      <c r="H225" s="301">
        <v>0.99184652278177454</v>
      </c>
      <c r="I225" s="285"/>
      <c r="J225" s="274"/>
      <c r="K225" s="301">
        <v>1292.518</v>
      </c>
      <c r="L225" s="279">
        <f>(D225/E225)*F225*G225*K225*H225</f>
        <v>473145.34382866696</v>
      </c>
      <c r="M225" s="297">
        <f t="shared" ref="M225" si="207">(L225*60)/1000000</f>
        <v>28.388720629720016</v>
      </c>
      <c r="N225" s="277">
        <f>K225/1000</f>
        <v>1.2925180000000001</v>
      </c>
      <c r="O225" s="280">
        <f t="shared" ref="O225" si="208">M225/N225</f>
        <v>21.963888030743103</v>
      </c>
      <c r="P225" s="352"/>
      <c r="Q225" s="303">
        <f>(O225/$P$148)*100</f>
        <v>10.861501237625673</v>
      </c>
      <c r="R225" s="355"/>
      <c r="S225" s="280">
        <f>(Q225/100)*$R$148</f>
        <v>2.0229623937955847</v>
      </c>
      <c r="T225" s="356"/>
    </row>
    <row r="228" spans="2:20" ht="63" x14ac:dyDescent="0.25">
      <c r="B228" s="358" t="s">
        <v>400</v>
      </c>
      <c r="C228" s="358" t="s">
        <v>401</v>
      </c>
      <c r="D228" s="270" t="s">
        <v>402</v>
      </c>
      <c r="E228" s="270" t="s">
        <v>403</v>
      </c>
      <c r="F228" s="270" t="s">
        <v>386</v>
      </c>
      <c r="G228" s="301" t="s">
        <v>404</v>
      </c>
      <c r="H228" s="301" t="s">
        <v>405</v>
      </c>
      <c r="I228" s="270" t="s">
        <v>406</v>
      </c>
      <c r="J228" s="270" t="s">
        <v>407</v>
      </c>
      <c r="K228" s="301" t="s">
        <v>408</v>
      </c>
      <c r="L228" s="358" t="s">
        <v>409</v>
      </c>
      <c r="M228" s="358"/>
      <c r="N228" s="270" t="s">
        <v>408</v>
      </c>
      <c r="O228" s="358" t="s">
        <v>410</v>
      </c>
      <c r="P228" s="358"/>
      <c r="Q228" s="270" t="s">
        <v>411</v>
      </c>
      <c r="R228" s="270" t="s">
        <v>412</v>
      </c>
      <c r="S228" s="271" t="s">
        <v>413</v>
      </c>
      <c r="T228" s="270" t="s">
        <v>410</v>
      </c>
    </row>
    <row r="229" spans="2:20" x14ac:dyDescent="0.25">
      <c r="B229" s="358"/>
      <c r="C229" s="358"/>
      <c r="D229" s="270" t="s">
        <v>416</v>
      </c>
      <c r="E229" s="270" t="s">
        <v>417</v>
      </c>
      <c r="F229" s="270" t="s">
        <v>417</v>
      </c>
      <c r="G229" s="301" t="s">
        <v>418</v>
      </c>
      <c r="H229" s="301" t="s">
        <v>417</v>
      </c>
      <c r="I229" s="270" t="s">
        <v>419</v>
      </c>
      <c r="J229" s="270" t="s">
        <v>419</v>
      </c>
      <c r="K229" s="301" t="s">
        <v>420</v>
      </c>
      <c r="L229" s="270" t="s">
        <v>421</v>
      </c>
      <c r="M229" s="270" t="s">
        <v>338</v>
      </c>
      <c r="N229" s="270" t="s">
        <v>422</v>
      </c>
      <c r="O229" s="273" t="s">
        <v>423</v>
      </c>
      <c r="P229" s="270" t="s">
        <v>423</v>
      </c>
      <c r="Q229" s="270"/>
      <c r="R229" s="270" t="s">
        <v>423</v>
      </c>
      <c r="S229" s="270" t="s">
        <v>423</v>
      </c>
      <c r="T229" s="270" t="s">
        <v>423</v>
      </c>
    </row>
    <row r="230" spans="2:20" x14ac:dyDescent="0.25">
      <c r="B230" s="351">
        <v>49</v>
      </c>
      <c r="C230" s="274" t="s">
        <v>389</v>
      </c>
      <c r="D230" s="275">
        <v>4.8</v>
      </c>
      <c r="E230" s="274">
        <v>0.96899999999999997</v>
      </c>
      <c r="F230" s="274">
        <v>0.43</v>
      </c>
      <c r="G230" s="301">
        <v>35.58</v>
      </c>
      <c r="H230" s="302">
        <v>1</v>
      </c>
      <c r="I230" s="274">
        <v>39</v>
      </c>
      <c r="J230" s="276">
        <f>H230*I230</f>
        <v>39</v>
      </c>
      <c r="K230" s="301">
        <v>1432.77</v>
      </c>
      <c r="L230" s="279">
        <f>(D230/E230)*F230*G230*J230*K230</f>
        <v>4234800.4070934979</v>
      </c>
      <c r="M230" s="297">
        <f>(L230*60)/1000000</f>
        <v>254.08802442560989</v>
      </c>
      <c r="N230" s="277">
        <f>K230/1000</f>
        <v>1.4327699999999999</v>
      </c>
      <c r="O230" s="280">
        <f>M230/N230</f>
        <v>177.34041362229101</v>
      </c>
      <c r="P230" s="352">
        <f>SUM(O230:O237)</f>
        <v>212.46629506897449</v>
      </c>
      <c r="Q230" s="303">
        <f>(O230/$P$148)*100</f>
        <v>87.697729989492828</v>
      </c>
      <c r="R230" s="353">
        <f>$T$22/($P$22/P230)</f>
        <v>19.568999999999988</v>
      </c>
      <c r="S230" s="280">
        <f>(Q230/100)*$R$148</f>
        <v>16.333765094590635</v>
      </c>
      <c r="T230" s="356">
        <f>SUM(S230:S237)</f>
        <v>19.568999999999985</v>
      </c>
    </row>
    <row r="231" spans="2:20" x14ac:dyDescent="0.25">
      <c r="B231" s="351"/>
      <c r="C231" s="274" t="s">
        <v>391</v>
      </c>
      <c r="D231" s="275">
        <v>5.2299999999999999E-2</v>
      </c>
      <c r="E231" s="274">
        <v>0.94299999999999995</v>
      </c>
      <c r="F231" s="274">
        <v>0.43</v>
      </c>
      <c r="G231" s="301">
        <v>35.58</v>
      </c>
      <c r="H231" s="302">
        <v>1</v>
      </c>
      <c r="I231" s="274">
        <v>16</v>
      </c>
      <c r="J231" s="276">
        <f t="shared" ref="J231:J234" si="209">H231*I231</f>
        <v>16</v>
      </c>
      <c r="K231" s="301">
        <v>1432.77</v>
      </c>
      <c r="L231" s="279">
        <f t="shared" ref="L231:L233" si="210">(D231/E231)*F231*G231*J231*K231</f>
        <v>19451.847566954824</v>
      </c>
      <c r="M231" s="297">
        <f t="shared" ref="M231:M233" si="211">(L231*60)/1000000</f>
        <v>1.1671108540172894</v>
      </c>
      <c r="N231" s="277">
        <f t="shared" ref="N231:N233" si="212">K231/1000</f>
        <v>1.4327699999999999</v>
      </c>
      <c r="O231" s="280">
        <f t="shared" ref="O231:O233" si="213">M231/N231</f>
        <v>0.81458353679745499</v>
      </c>
      <c r="P231" s="352"/>
      <c r="Q231" s="303">
        <f t="shared" ref="Q231:Q234" si="214">(O231/$P$148)*100</f>
        <v>0.40282485872678681</v>
      </c>
      <c r="R231" s="354"/>
      <c r="S231" s="280">
        <f t="shared" ref="S231:S234" si="215">(Q231/100)*$R$148</f>
        <v>7.5026418785221816E-2</v>
      </c>
      <c r="T231" s="356"/>
    </row>
    <row r="232" spans="2:20" x14ac:dyDescent="0.25">
      <c r="B232" s="351"/>
      <c r="C232" s="274" t="s">
        <v>425</v>
      </c>
      <c r="D232" s="275">
        <v>9.8000000000000004E-2</v>
      </c>
      <c r="E232" s="274">
        <v>0.99539999999999995</v>
      </c>
      <c r="F232" s="274">
        <v>0.78</v>
      </c>
      <c r="G232" s="301">
        <v>35.58</v>
      </c>
      <c r="H232" s="302">
        <v>1</v>
      </c>
      <c r="I232" s="274">
        <v>61</v>
      </c>
      <c r="J232" s="276">
        <f t="shared" si="209"/>
        <v>61</v>
      </c>
      <c r="K232" s="301">
        <v>1432.77</v>
      </c>
      <c r="L232" s="279">
        <f t="shared" si="210"/>
        <v>238800.53762582282</v>
      </c>
      <c r="M232" s="297">
        <f t="shared" si="211"/>
        <v>14.328032257549369</v>
      </c>
      <c r="N232" s="277">
        <f t="shared" si="212"/>
        <v>1.4327699999999999</v>
      </c>
      <c r="O232" s="280">
        <f t="shared" si="213"/>
        <v>10.00023189873418</v>
      </c>
      <c r="P232" s="352"/>
      <c r="Q232" s="303">
        <f t="shared" si="214"/>
        <v>4.9452779486314906</v>
      </c>
      <c r="R232" s="354"/>
      <c r="S232" s="280">
        <f t="shared" si="215"/>
        <v>0.92106156396617778</v>
      </c>
      <c r="T232" s="356"/>
    </row>
    <row r="233" spans="2:20" x14ac:dyDescent="0.25">
      <c r="B233" s="351"/>
      <c r="C233" s="274" t="s">
        <v>426</v>
      </c>
      <c r="D233" s="275">
        <v>0.2286</v>
      </c>
      <c r="E233" s="274">
        <v>0.97499999999999998</v>
      </c>
      <c r="F233" s="274">
        <v>0.25</v>
      </c>
      <c r="G233" s="301">
        <v>35.58</v>
      </c>
      <c r="H233" s="302">
        <v>1</v>
      </c>
      <c r="I233" s="274">
        <v>11</v>
      </c>
      <c r="J233" s="276">
        <f t="shared" si="209"/>
        <v>11</v>
      </c>
      <c r="K233" s="301">
        <v>1432.77</v>
      </c>
      <c r="L233" s="279">
        <f t="shared" si="210"/>
        <v>32869.017863169232</v>
      </c>
      <c r="M233" s="297">
        <f t="shared" si="211"/>
        <v>1.972141071790154</v>
      </c>
      <c r="N233" s="277">
        <f t="shared" si="212"/>
        <v>1.4327699999999999</v>
      </c>
      <c r="O233" s="280">
        <f t="shared" si="213"/>
        <v>1.3764533538461541</v>
      </c>
      <c r="P233" s="352"/>
      <c r="Q233" s="303">
        <f t="shared" si="214"/>
        <v>0.6806786569576313</v>
      </c>
      <c r="R233" s="354"/>
      <c r="S233" s="280">
        <f t="shared" si="215"/>
        <v>0.12677688794201925</v>
      </c>
      <c r="T233" s="356"/>
    </row>
    <row r="234" spans="2:20" x14ac:dyDescent="0.25">
      <c r="B234" s="351"/>
      <c r="C234" s="274" t="s">
        <v>395</v>
      </c>
      <c r="D234" s="275">
        <v>4.3999999999999997E-2</v>
      </c>
      <c r="E234" s="274">
        <v>0.96789999999999998</v>
      </c>
      <c r="F234" s="274">
        <v>0.43</v>
      </c>
      <c r="G234" s="301">
        <v>35.58</v>
      </c>
      <c r="H234" s="302">
        <v>1</v>
      </c>
      <c r="I234" s="274">
        <v>64.5</v>
      </c>
      <c r="J234" s="276">
        <f t="shared" si="209"/>
        <v>64.5</v>
      </c>
      <c r="K234" s="301">
        <v>1432.77</v>
      </c>
      <c r="L234" s="279">
        <f t="shared" ref="L234" si="216">(D234/E234)*F234*G234*J234*K234</f>
        <v>64273.622850753163</v>
      </c>
      <c r="M234" s="297">
        <f t="shared" ref="M234" si="217">(L234*60)/1000000</f>
        <v>3.8564173710451901</v>
      </c>
      <c r="N234" s="306">
        <f t="shared" ref="N234" si="218">K234/1000</f>
        <v>1.4327699999999999</v>
      </c>
      <c r="O234" s="280">
        <f t="shared" ref="O234" si="219">M234/N234</f>
        <v>2.6915816014051037</v>
      </c>
      <c r="P234" s="352"/>
      <c r="Q234" s="303">
        <f t="shared" si="214"/>
        <v>1.3310310475955802</v>
      </c>
      <c r="R234" s="354"/>
      <c r="S234" s="280">
        <f t="shared" si="215"/>
        <v>0.24790548703641341</v>
      </c>
      <c r="T234" s="356"/>
    </row>
    <row r="235" spans="2:20" ht="63" x14ac:dyDescent="0.25">
      <c r="B235" s="351"/>
      <c r="C235" s="274"/>
      <c r="D235" s="292" t="s">
        <v>427</v>
      </c>
      <c r="E235" s="292" t="s">
        <v>403</v>
      </c>
      <c r="F235" s="292" t="s">
        <v>428</v>
      </c>
      <c r="G235" s="304" t="s">
        <v>404</v>
      </c>
      <c r="H235" s="301"/>
      <c r="I235" s="270"/>
      <c r="J235" s="270"/>
      <c r="K235" s="304" t="s">
        <v>408</v>
      </c>
      <c r="L235" s="357" t="s">
        <v>409</v>
      </c>
      <c r="M235" s="357"/>
      <c r="N235" s="270" t="s">
        <v>408</v>
      </c>
      <c r="O235" s="260" t="s">
        <v>429</v>
      </c>
      <c r="P235" s="352"/>
      <c r="Q235" s="270" t="s">
        <v>411</v>
      </c>
      <c r="R235" s="354"/>
      <c r="S235" s="271" t="s">
        <v>413</v>
      </c>
      <c r="T235" s="356"/>
    </row>
    <row r="236" spans="2:20" x14ac:dyDescent="0.25">
      <c r="B236" s="351"/>
      <c r="C236" s="270"/>
      <c r="D236" s="292" t="s">
        <v>430</v>
      </c>
      <c r="E236" s="292" t="s">
        <v>417</v>
      </c>
      <c r="F236" s="292" t="s">
        <v>417</v>
      </c>
      <c r="G236" s="304" t="s">
        <v>418</v>
      </c>
      <c r="H236" s="301"/>
      <c r="I236" s="270"/>
      <c r="J236" s="270"/>
      <c r="K236" s="304" t="s">
        <v>420</v>
      </c>
      <c r="L236" s="292" t="s">
        <v>421</v>
      </c>
      <c r="M236" s="292" t="s">
        <v>338</v>
      </c>
      <c r="N236" s="270" t="s">
        <v>422</v>
      </c>
      <c r="O236" s="273" t="s">
        <v>423</v>
      </c>
      <c r="P236" s="352"/>
      <c r="Q236" s="305"/>
      <c r="R236" s="354"/>
      <c r="S236" s="271"/>
      <c r="T236" s="356"/>
    </row>
    <row r="237" spans="2:20" x14ac:dyDescent="0.25">
      <c r="B237" s="351"/>
      <c r="C237" s="274" t="s">
        <v>396</v>
      </c>
      <c r="D237" s="275">
        <v>9.16</v>
      </c>
      <c r="E237" s="274">
        <v>0.96599999999999997</v>
      </c>
      <c r="F237" s="274">
        <v>1</v>
      </c>
      <c r="G237" s="301">
        <v>35.58</v>
      </c>
      <c r="H237" s="301">
        <v>1</v>
      </c>
      <c r="I237" s="285"/>
      <c r="J237" s="274"/>
      <c r="K237" s="301">
        <v>1432.77</v>
      </c>
      <c r="L237" s="279">
        <f>(D237/E237)*F237*G237*K237*H237</f>
        <v>483393.46009937883</v>
      </c>
      <c r="M237" s="297">
        <f t="shared" ref="M237" si="220">(L237*60)/1000000</f>
        <v>29.003607605962731</v>
      </c>
      <c r="N237" s="277">
        <f>K237/1000</f>
        <v>1.4327699999999999</v>
      </c>
      <c r="O237" s="280">
        <f t="shared" ref="O237" si="221">M237/N237</f>
        <v>20.243031055900623</v>
      </c>
      <c r="P237" s="352"/>
      <c r="Q237" s="303">
        <f>(O237/$P$148)*100</f>
        <v>10.010509366975711</v>
      </c>
      <c r="R237" s="355"/>
      <c r="S237" s="280">
        <f>(Q237/100)*$R$148</f>
        <v>1.864464547679521</v>
      </c>
      <c r="T237" s="356"/>
    </row>
    <row r="240" spans="2:20" ht="63" x14ac:dyDescent="0.25">
      <c r="B240" s="358" t="s">
        <v>400</v>
      </c>
      <c r="C240" s="358" t="s">
        <v>401</v>
      </c>
      <c r="D240" s="270" t="s">
        <v>402</v>
      </c>
      <c r="E240" s="270" t="s">
        <v>403</v>
      </c>
      <c r="F240" s="270" t="s">
        <v>386</v>
      </c>
      <c r="G240" s="301" t="s">
        <v>404</v>
      </c>
      <c r="H240" s="301" t="s">
        <v>405</v>
      </c>
      <c r="I240" s="270" t="s">
        <v>406</v>
      </c>
      <c r="J240" s="270" t="s">
        <v>407</v>
      </c>
      <c r="K240" s="301" t="s">
        <v>408</v>
      </c>
      <c r="L240" s="358" t="s">
        <v>409</v>
      </c>
      <c r="M240" s="358"/>
      <c r="N240" s="270" t="s">
        <v>408</v>
      </c>
      <c r="O240" s="358" t="s">
        <v>410</v>
      </c>
      <c r="P240" s="358"/>
      <c r="Q240" s="270" t="s">
        <v>411</v>
      </c>
      <c r="R240" s="270" t="s">
        <v>412</v>
      </c>
      <c r="S240" s="271" t="s">
        <v>413</v>
      </c>
      <c r="T240" s="270" t="s">
        <v>410</v>
      </c>
    </row>
    <row r="241" spans="2:20" x14ac:dyDescent="0.25">
      <c r="B241" s="358"/>
      <c r="C241" s="358"/>
      <c r="D241" s="270" t="s">
        <v>416</v>
      </c>
      <c r="E241" s="270" t="s">
        <v>417</v>
      </c>
      <c r="F241" s="270" t="s">
        <v>417</v>
      </c>
      <c r="G241" s="301" t="s">
        <v>418</v>
      </c>
      <c r="H241" s="301" t="s">
        <v>417</v>
      </c>
      <c r="I241" s="270" t="s">
        <v>419</v>
      </c>
      <c r="J241" s="270" t="s">
        <v>419</v>
      </c>
      <c r="K241" s="301" t="s">
        <v>420</v>
      </c>
      <c r="L241" s="270" t="s">
        <v>421</v>
      </c>
      <c r="M241" s="270" t="s">
        <v>338</v>
      </c>
      <c r="N241" s="270" t="s">
        <v>422</v>
      </c>
      <c r="O241" s="273" t="s">
        <v>423</v>
      </c>
      <c r="P241" s="270" t="s">
        <v>423</v>
      </c>
      <c r="Q241" s="270"/>
      <c r="R241" s="270" t="s">
        <v>423</v>
      </c>
      <c r="S241" s="270" t="s">
        <v>423</v>
      </c>
      <c r="T241" s="270" t="s">
        <v>423</v>
      </c>
    </row>
    <row r="242" spans="2:20" x14ac:dyDescent="0.25">
      <c r="B242" s="351">
        <v>50</v>
      </c>
      <c r="C242" s="274" t="s">
        <v>389</v>
      </c>
      <c r="D242" s="275">
        <v>4.8</v>
      </c>
      <c r="E242" s="274">
        <v>0.96899999999999997</v>
      </c>
      <c r="F242" s="274">
        <v>0.43</v>
      </c>
      <c r="G242" s="301">
        <v>35.24</v>
      </c>
      <c r="H242" s="302">
        <v>1</v>
      </c>
      <c r="I242" s="274">
        <v>39</v>
      </c>
      <c r="J242" s="276">
        <f>H242*I242</f>
        <v>39</v>
      </c>
      <c r="K242" s="301">
        <v>1432.846</v>
      </c>
      <c r="L242" s="279">
        <f>(D242/E242)*F242*G242*J242*K242</f>
        <v>4194555.4342082981</v>
      </c>
      <c r="M242" s="297">
        <f>(L242*60)/1000000</f>
        <v>251.67332605249788</v>
      </c>
      <c r="N242" s="277">
        <f>K242/1000</f>
        <v>1.4328460000000001</v>
      </c>
      <c r="O242" s="280">
        <f>M242/N242</f>
        <v>175.64576099071209</v>
      </c>
      <c r="P242" s="352">
        <f>SUM(O242:O249)</f>
        <v>210.4359819626381</v>
      </c>
      <c r="Q242" s="303">
        <f>(O242/$P$148)*100</f>
        <v>86.859696594427433</v>
      </c>
      <c r="R242" s="353">
        <f>$T$22/($P$22/P242)</f>
        <v>19.381999999999994</v>
      </c>
      <c r="S242" s="280">
        <f>(Q242/100)*$R$148</f>
        <v>16.177680773844134</v>
      </c>
      <c r="T242" s="356">
        <f>SUM(S242:S249)</f>
        <v>19.381999999999994</v>
      </c>
    </row>
    <row r="243" spans="2:20" x14ac:dyDescent="0.25">
      <c r="B243" s="351"/>
      <c r="C243" s="274" t="s">
        <v>391</v>
      </c>
      <c r="D243" s="275">
        <v>5.2299999999999999E-2</v>
      </c>
      <c r="E243" s="274">
        <v>0.94299999999999995</v>
      </c>
      <c r="F243" s="274">
        <v>0.43</v>
      </c>
      <c r="G243" s="301">
        <v>35.24</v>
      </c>
      <c r="H243" s="302">
        <v>1</v>
      </c>
      <c r="I243" s="274">
        <v>16</v>
      </c>
      <c r="J243" s="276">
        <f t="shared" ref="J243:J246" si="222">H243*I243</f>
        <v>16</v>
      </c>
      <c r="K243" s="301">
        <v>1432.846</v>
      </c>
      <c r="L243" s="279">
        <f t="shared" ref="L243:L245" si="223">(D243/E243)*F243*G243*J243*K243</f>
        <v>19266.989013388084</v>
      </c>
      <c r="M243" s="297">
        <f t="shared" ref="M243:M245" si="224">(L243*60)/1000000</f>
        <v>1.1560193408032851</v>
      </c>
      <c r="N243" s="277">
        <f t="shared" ref="N243:N245" si="225">K243/1000</f>
        <v>1.4328460000000001</v>
      </c>
      <c r="O243" s="280">
        <f t="shared" ref="O243:O245" si="226">M243/N243</f>
        <v>0.80679943329798531</v>
      </c>
      <c r="P243" s="352"/>
      <c r="Q243" s="303">
        <f t="shared" ref="Q243:Q246" si="227">(O243/$P$148)*100</f>
        <v>0.39897549245452413</v>
      </c>
      <c r="R243" s="354"/>
      <c r="S243" s="280">
        <f t="shared" ref="S243:S246" si="228">(Q243/100)*$R$148</f>
        <v>7.4309471556807671E-2</v>
      </c>
      <c r="T243" s="356"/>
    </row>
    <row r="244" spans="2:20" x14ac:dyDescent="0.25">
      <c r="B244" s="351"/>
      <c r="C244" s="274" t="s">
        <v>425</v>
      </c>
      <c r="D244" s="275">
        <v>9.8000000000000004E-2</v>
      </c>
      <c r="E244" s="274">
        <v>0.99539999999999995</v>
      </c>
      <c r="F244" s="274">
        <v>0.78</v>
      </c>
      <c r="G244" s="301">
        <v>35.24</v>
      </c>
      <c r="H244" s="302">
        <v>1</v>
      </c>
      <c r="I244" s="274">
        <v>61</v>
      </c>
      <c r="J244" s="276">
        <f t="shared" si="222"/>
        <v>61</v>
      </c>
      <c r="K244" s="301">
        <v>1432.846</v>
      </c>
      <c r="L244" s="279">
        <f t="shared" si="223"/>
        <v>236531.12224897894</v>
      </c>
      <c r="M244" s="297">
        <f t="shared" si="224"/>
        <v>14.191867334938737</v>
      </c>
      <c r="N244" s="277">
        <f t="shared" si="225"/>
        <v>1.4328460000000001</v>
      </c>
      <c r="O244" s="280">
        <f t="shared" si="226"/>
        <v>9.9046703797468361</v>
      </c>
      <c r="P244" s="352"/>
      <c r="Q244" s="303">
        <f t="shared" si="227"/>
        <v>4.8980212172505251</v>
      </c>
      <c r="R244" s="354"/>
      <c r="S244" s="280">
        <f t="shared" si="228"/>
        <v>0.91225996386082331</v>
      </c>
      <c r="T244" s="356"/>
    </row>
    <row r="245" spans="2:20" x14ac:dyDescent="0.25">
      <c r="B245" s="351"/>
      <c r="C245" s="274" t="s">
        <v>426</v>
      </c>
      <c r="D245" s="275">
        <v>0.2286</v>
      </c>
      <c r="E245" s="274">
        <v>0.97499999999999998</v>
      </c>
      <c r="F245" s="274">
        <v>0.25</v>
      </c>
      <c r="G245" s="301">
        <v>35.24</v>
      </c>
      <c r="H245" s="302">
        <v>1</v>
      </c>
      <c r="I245" s="274">
        <v>11</v>
      </c>
      <c r="J245" s="276">
        <f t="shared" si="222"/>
        <v>11</v>
      </c>
      <c r="K245" s="301">
        <v>1432.846</v>
      </c>
      <c r="L245" s="279">
        <f t="shared" si="223"/>
        <v>32556.65066625231</v>
      </c>
      <c r="M245" s="297">
        <f t="shared" si="224"/>
        <v>1.9533990399751386</v>
      </c>
      <c r="N245" s="277">
        <f t="shared" si="225"/>
        <v>1.4328460000000001</v>
      </c>
      <c r="O245" s="280">
        <f t="shared" si="226"/>
        <v>1.3633000615384616</v>
      </c>
      <c r="P245" s="352"/>
      <c r="Q245" s="303">
        <f t="shared" si="227"/>
        <v>0.67417413915646218</v>
      </c>
      <c r="R245" s="354"/>
      <c r="S245" s="280">
        <f t="shared" si="228"/>
        <v>0.12556541683745806</v>
      </c>
      <c r="T245" s="356"/>
    </row>
    <row r="246" spans="2:20" x14ac:dyDescent="0.25">
      <c r="B246" s="351"/>
      <c r="C246" s="274" t="s">
        <v>395</v>
      </c>
      <c r="D246" s="275">
        <v>4.3999999999999997E-2</v>
      </c>
      <c r="E246" s="274">
        <v>0.96789999999999998</v>
      </c>
      <c r="F246" s="274">
        <v>0.43</v>
      </c>
      <c r="G246" s="301">
        <v>35.24</v>
      </c>
      <c r="H246" s="302">
        <v>1</v>
      </c>
      <c r="I246" s="274">
        <v>64.5</v>
      </c>
      <c r="J246" s="276">
        <f t="shared" si="222"/>
        <v>64.5</v>
      </c>
      <c r="K246" s="301">
        <v>1432.846</v>
      </c>
      <c r="L246" s="279">
        <f t="shared" ref="L246" si="229">(D246/E246)*F246*G246*J246*K246</f>
        <v>63662.80534810786</v>
      </c>
      <c r="M246" s="297">
        <f t="shared" ref="M246" si="230">(L246*60)/1000000</f>
        <v>3.8197683208864719</v>
      </c>
      <c r="N246" s="306">
        <f t="shared" ref="N246" si="231">K246/1000</f>
        <v>1.4328460000000001</v>
      </c>
      <c r="O246" s="280">
        <f t="shared" ref="O246" si="232">M246/N246</f>
        <v>2.6658610352309124</v>
      </c>
      <c r="P246" s="352"/>
      <c r="Q246" s="303">
        <f t="shared" si="227"/>
        <v>1.3183118076803895</v>
      </c>
      <c r="R246" s="354"/>
      <c r="S246" s="280">
        <f t="shared" si="228"/>
        <v>0.24553651948182156</v>
      </c>
      <c r="T246" s="356"/>
    </row>
    <row r="247" spans="2:20" ht="63" x14ac:dyDescent="0.25">
      <c r="B247" s="351"/>
      <c r="C247" s="274"/>
      <c r="D247" s="292" t="s">
        <v>427</v>
      </c>
      <c r="E247" s="292" t="s">
        <v>403</v>
      </c>
      <c r="F247" s="292" t="s">
        <v>428</v>
      </c>
      <c r="G247" s="304" t="s">
        <v>404</v>
      </c>
      <c r="H247" s="301"/>
      <c r="I247" s="270"/>
      <c r="J247" s="270"/>
      <c r="K247" s="304" t="s">
        <v>408</v>
      </c>
      <c r="L247" s="357" t="s">
        <v>409</v>
      </c>
      <c r="M247" s="357"/>
      <c r="N247" s="270" t="s">
        <v>408</v>
      </c>
      <c r="O247" s="260" t="s">
        <v>429</v>
      </c>
      <c r="P247" s="352"/>
      <c r="Q247" s="270" t="s">
        <v>411</v>
      </c>
      <c r="R247" s="354"/>
      <c r="S247" s="271" t="s">
        <v>413</v>
      </c>
      <c r="T247" s="356"/>
    </row>
    <row r="248" spans="2:20" x14ac:dyDescent="0.25">
      <c r="B248" s="351"/>
      <c r="C248" s="270"/>
      <c r="D248" s="292" t="s">
        <v>430</v>
      </c>
      <c r="E248" s="292" t="s">
        <v>417</v>
      </c>
      <c r="F248" s="292" t="s">
        <v>417</v>
      </c>
      <c r="G248" s="304" t="s">
        <v>418</v>
      </c>
      <c r="H248" s="301"/>
      <c r="I248" s="270"/>
      <c r="J248" s="270"/>
      <c r="K248" s="304" t="s">
        <v>420</v>
      </c>
      <c r="L248" s="292" t="s">
        <v>421</v>
      </c>
      <c r="M248" s="292" t="s">
        <v>338</v>
      </c>
      <c r="N248" s="270" t="s">
        <v>422</v>
      </c>
      <c r="O248" s="273" t="s">
        <v>423</v>
      </c>
      <c r="P248" s="352"/>
      <c r="Q248" s="305"/>
      <c r="R248" s="354"/>
      <c r="S248" s="271"/>
      <c r="T248" s="356"/>
    </row>
    <row r="249" spans="2:20" x14ac:dyDescent="0.25">
      <c r="B249" s="351"/>
      <c r="C249" s="274" t="s">
        <v>396</v>
      </c>
      <c r="D249" s="275">
        <v>9.16</v>
      </c>
      <c r="E249" s="274">
        <v>0.96599999999999997</v>
      </c>
      <c r="F249" s="274">
        <v>1</v>
      </c>
      <c r="G249" s="301">
        <v>35.24</v>
      </c>
      <c r="H249" s="301">
        <v>1</v>
      </c>
      <c r="I249" s="285"/>
      <c r="J249" s="274"/>
      <c r="K249" s="301">
        <v>1432.846</v>
      </c>
      <c r="L249" s="279">
        <f>(D249/E249)*F249*G249*K249*H249</f>
        <v>478799.5820356108</v>
      </c>
      <c r="M249" s="297">
        <f t="shared" ref="M249" si="233">(L249*60)/1000000</f>
        <v>28.727974922136649</v>
      </c>
      <c r="N249" s="277">
        <f>K249/1000</f>
        <v>1.4328460000000001</v>
      </c>
      <c r="O249" s="280">
        <f t="shared" ref="O249" si="234">M249/N249</f>
        <v>20.049590062111804</v>
      </c>
      <c r="P249" s="352"/>
      <c r="Q249" s="303">
        <f>(O249/$P$148)*100</f>
        <v>9.9148496372182127</v>
      </c>
      <c r="R249" s="355"/>
      <c r="S249" s="280">
        <f>(Q249/100)*$R$148</f>
        <v>1.8466478544189517</v>
      </c>
      <c r="T249" s="356"/>
    </row>
    <row r="252" spans="2:20" ht="63" x14ac:dyDescent="0.25">
      <c r="B252" s="358" t="s">
        <v>400</v>
      </c>
      <c r="C252" s="358" t="s">
        <v>401</v>
      </c>
      <c r="D252" s="270" t="s">
        <v>402</v>
      </c>
      <c r="E252" s="270" t="s">
        <v>403</v>
      </c>
      <c r="F252" s="270" t="s">
        <v>386</v>
      </c>
      <c r="G252" s="301" t="s">
        <v>404</v>
      </c>
      <c r="H252" s="301" t="s">
        <v>405</v>
      </c>
      <c r="I252" s="270" t="s">
        <v>406</v>
      </c>
      <c r="J252" s="270" t="s">
        <v>407</v>
      </c>
      <c r="K252" s="301" t="s">
        <v>408</v>
      </c>
      <c r="L252" s="358" t="s">
        <v>409</v>
      </c>
      <c r="M252" s="358"/>
      <c r="N252" s="270" t="s">
        <v>408</v>
      </c>
      <c r="O252" s="358" t="s">
        <v>410</v>
      </c>
      <c r="P252" s="358"/>
      <c r="Q252" s="270" t="s">
        <v>411</v>
      </c>
      <c r="R252" s="270" t="s">
        <v>412</v>
      </c>
      <c r="S252" s="271" t="s">
        <v>413</v>
      </c>
      <c r="T252" s="270" t="s">
        <v>410</v>
      </c>
    </row>
    <row r="253" spans="2:20" x14ac:dyDescent="0.25">
      <c r="B253" s="358"/>
      <c r="C253" s="358"/>
      <c r="D253" s="270" t="s">
        <v>416</v>
      </c>
      <c r="E253" s="270" t="s">
        <v>417</v>
      </c>
      <c r="F253" s="270" t="s">
        <v>417</v>
      </c>
      <c r="G253" s="301" t="s">
        <v>418</v>
      </c>
      <c r="H253" s="301" t="s">
        <v>417</v>
      </c>
      <c r="I253" s="270" t="s">
        <v>419</v>
      </c>
      <c r="J253" s="270" t="s">
        <v>419</v>
      </c>
      <c r="K253" s="301" t="s">
        <v>420</v>
      </c>
      <c r="L253" s="270" t="s">
        <v>421</v>
      </c>
      <c r="M253" s="270" t="s">
        <v>338</v>
      </c>
      <c r="N253" s="270" t="s">
        <v>422</v>
      </c>
      <c r="O253" s="273" t="s">
        <v>423</v>
      </c>
      <c r="P253" s="270" t="s">
        <v>423</v>
      </c>
      <c r="Q253" s="270"/>
      <c r="R253" s="270" t="s">
        <v>423</v>
      </c>
      <c r="S253" s="270" t="s">
        <v>423</v>
      </c>
      <c r="T253" s="270" t="s">
        <v>423</v>
      </c>
    </row>
    <row r="254" spans="2:20" x14ac:dyDescent="0.25">
      <c r="B254" s="351">
        <v>58</v>
      </c>
      <c r="C254" s="274" t="s">
        <v>389</v>
      </c>
      <c r="D254" s="275">
        <v>4.8</v>
      </c>
      <c r="E254" s="274">
        <v>0.96899999999999997</v>
      </c>
      <c r="F254" s="274">
        <v>0.43</v>
      </c>
      <c r="G254" s="301">
        <v>32.61</v>
      </c>
      <c r="H254" s="302">
        <v>1</v>
      </c>
      <c r="I254" s="274">
        <v>39</v>
      </c>
      <c r="J254" s="276">
        <f>H254*I254</f>
        <v>39</v>
      </c>
      <c r="K254" s="301">
        <v>1422.9860000000001</v>
      </c>
      <c r="L254" s="279">
        <f>(D254/E254)*F254*G254*J254*K254</f>
        <v>3854800.8764047059</v>
      </c>
      <c r="M254" s="297">
        <f>(L254*60)/1000000</f>
        <v>231.28805258428235</v>
      </c>
      <c r="N254" s="277">
        <f>K254/1000</f>
        <v>1.4229860000000001</v>
      </c>
      <c r="O254" s="280">
        <f>M254/N254</f>
        <v>162.53712445820432</v>
      </c>
      <c r="P254" s="352">
        <f>SUM(O254:O261)</f>
        <v>194.73091293421189</v>
      </c>
      <c r="Q254" s="303">
        <f>(O254/$P$148)*100</f>
        <v>80.377261803186101</v>
      </c>
      <c r="R254" s="353">
        <f>$T$22/($P$22/P254)</f>
        <v>17.93549999999999</v>
      </c>
      <c r="S254" s="280">
        <f>(Q254/100)*$R$148</f>
        <v>14.970322645716717</v>
      </c>
      <c r="T254" s="356">
        <f>SUM(S254:S261)</f>
        <v>17.935499999999994</v>
      </c>
    </row>
    <row r="255" spans="2:20" x14ac:dyDescent="0.25">
      <c r="B255" s="351"/>
      <c r="C255" s="274" t="s">
        <v>391</v>
      </c>
      <c r="D255" s="275">
        <v>5.2299999999999999E-2</v>
      </c>
      <c r="E255" s="274">
        <v>0.94299999999999995</v>
      </c>
      <c r="F255" s="274">
        <v>0.43</v>
      </c>
      <c r="G255" s="301">
        <v>32.61</v>
      </c>
      <c r="H255" s="302">
        <v>1</v>
      </c>
      <c r="I255" s="274">
        <v>16</v>
      </c>
      <c r="J255" s="276">
        <f t="shared" ref="J255:J258" si="235">H255*I255</f>
        <v>16</v>
      </c>
      <c r="K255" s="301">
        <v>1422.9860000000001</v>
      </c>
      <c r="L255" s="279">
        <f t="shared" ref="L255:L257" si="236">(D255/E255)*F255*G255*J255*K255</f>
        <v>17706.383262641612</v>
      </c>
      <c r="M255" s="297">
        <f t="shared" ref="M255:M257" si="237">(L255*60)/1000000</f>
        <v>1.0623829957584967</v>
      </c>
      <c r="N255" s="277">
        <f t="shared" ref="N255:N257" si="238">K255/1000</f>
        <v>1.4229860000000001</v>
      </c>
      <c r="O255" s="280">
        <f t="shared" ref="O255:O258" si="239">M255/N255</f>
        <v>0.74658710328738065</v>
      </c>
      <c r="P255" s="352"/>
      <c r="Q255" s="303">
        <f t="shared" ref="Q255:Q258" si="240">(O255/$P$148)*100</f>
        <v>0.36919951217202124</v>
      </c>
      <c r="R255" s="354"/>
      <c r="S255" s="280">
        <f t="shared" ref="S255:S258" si="241">(Q255/100)*$R$148</f>
        <v>6.8763673878192336E-2</v>
      </c>
      <c r="T255" s="356"/>
    </row>
    <row r="256" spans="2:20" x14ac:dyDescent="0.25">
      <c r="B256" s="351"/>
      <c r="C256" s="274" t="s">
        <v>425</v>
      </c>
      <c r="D256" s="275">
        <v>9.8000000000000004E-2</v>
      </c>
      <c r="E256" s="274">
        <v>0.99539999999999995</v>
      </c>
      <c r="F256" s="274">
        <v>0.78</v>
      </c>
      <c r="G256" s="301">
        <v>32.61</v>
      </c>
      <c r="H256" s="302">
        <v>1</v>
      </c>
      <c r="I256" s="274">
        <v>61</v>
      </c>
      <c r="J256" s="276">
        <f t="shared" si="235"/>
        <v>61</v>
      </c>
      <c r="K256" s="301">
        <v>1422.9860000000001</v>
      </c>
      <c r="L256" s="279">
        <f t="shared" si="236"/>
        <v>217372.35128815196</v>
      </c>
      <c r="M256" s="297">
        <f t="shared" si="237"/>
        <v>13.042341077289118</v>
      </c>
      <c r="N256" s="277">
        <f t="shared" si="238"/>
        <v>1.4229860000000001</v>
      </c>
      <c r="O256" s="280">
        <f t="shared" si="239"/>
        <v>9.1654739240506355</v>
      </c>
      <c r="P256" s="352"/>
      <c r="Q256" s="303">
        <f t="shared" si="240"/>
        <v>4.5324765009801276</v>
      </c>
      <c r="R256" s="354"/>
      <c r="S256" s="280">
        <f t="shared" si="241"/>
        <v>0.84417699833999615</v>
      </c>
      <c r="T256" s="356"/>
    </row>
    <row r="257" spans="2:20" x14ac:dyDescent="0.25">
      <c r="B257" s="351"/>
      <c r="C257" s="274" t="s">
        <v>426</v>
      </c>
      <c r="D257" s="275">
        <v>0.2286</v>
      </c>
      <c r="E257" s="274">
        <v>0.97499999999999998</v>
      </c>
      <c r="F257" s="274">
        <v>0.25</v>
      </c>
      <c r="G257" s="301">
        <v>32.61</v>
      </c>
      <c r="H257" s="302">
        <v>1</v>
      </c>
      <c r="I257" s="274">
        <v>11</v>
      </c>
      <c r="J257" s="276">
        <f t="shared" si="235"/>
        <v>11</v>
      </c>
      <c r="K257" s="301">
        <v>1422.9860000000001</v>
      </c>
      <c r="L257" s="279">
        <f t="shared" si="236"/>
        <v>29919.596364747696</v>
      </c>
      <c r="M257" s="297">
        <f t="shared" si="237"/>
        <v>1.7951757818848619</v>
      </c>
      <c r="N257" s="277">
        <f t="shared" si="238"/>
        <v>1.4229860000000001</v>
      </c>
      <c r="O257" s="280">
        <f t="shared" si="239"/>
        <v>1.2615554769230772</v>
      </c>
      <c r="P257" s="352"/>
      <c r="Q257" s="303">
        <f t="shared" si="240"/>
        <v>0.62385978087094873</v>
      </c>
      <c r="R257" s="354"/>
      <c r="S257" s="280">
        <f t="shared" si="241"/>
        <v>0.11619433152864665</v>
      </c>
      <c r="T257" s="356"/>
    </row>
    <row r="258" spans="2:20" x14ac:dyDescent="0.25">
      <c r="B258" s="351"/>
      <c r="C258" s="274" t="s">
        <v>395</v>
      </c>
      <c r="D258" s="275">
        <v>4.3999999999999997E-2</v>
      </c>
      <c r="E258" s="274">
        <v>0.96789999999999998</v>
      </c>
      <c r="F258" s="274">
        <v>0.43</v>
      </c>
      <c r="G258" s="301">
        <v>32.61</v>
      </c>
      <c r="H258" s="302">
        <v>1</v>
      </c>
      <c r="I258" s="274">
        <v>64.5</v>
      </c>
      <c r="J258" s="276">
        <f t="shared" si="235"/>
        <v>64.5</v>
      </c>
      <c r="K258" s="301">
        <v>1422.9860000000001</v>
      </c>
      <c r="L258" s="279">
        <f t="shared" ref="L258" si="242">(D258/E258)*F258*G258*J258*K258</f>
        <v>58506.185387102385</v>
      </c>
      <c r="M258" s="297">
        <f t="shared" ref="M258" si="243">(L258*60)/1000000</f>
        <v>3.5103711232261428</v>
      </c>
      <c r="N258" s="306">
        <f t="shared" ref="N258" si="244">K258/1000</f>
        <v>1.4229860000000001</v>
      </c>
      <c r="O258" s="280">
        <f t="shared" si="239"/>
        <v>2.466904891001136</v>
      </c>
      <c r="P258" s="352"/>
      <c r="Q258" s="303">
        <f t="shared" si="240"/>
        <v>1.2199247459834701</v>
      </c>
      <c r="R258" s="354"/>
      <c r="S258" s="280">
        <f t="shared" si="241"/>
        <v>0.22721185869188984</v>
      </c>
      <c r="T258" s="356"/>
    </row>
    <row r="259" spans="2:20" ht="63" x14ac:dyDescent="0.25">
      <c r="B259" s="351"/>
      <c r="C259" s="274"/>
      <c r="D259" s="292" t="s">
        <v>427</v>
      </c>
      <c r="E259" s="292" t="s">
        <v>403</v>
      </c>
      <c r="F259" s="292" t="s">
        <v>428</v>
      </c>
      <c r="G259" s="304" t="s">
        <v>404</v>
      </c>
      <c r="H259" s="301"/>
      <c r="I259" s="270"/>
      <c r="J259" s="270"/>
      <c r="K259" s="304" t="s">
        <v>408</v>
      </c>
      <c r="L259" s="357" t="s">
        <v>409</v>
      </c>
      <c r="M259" s="357"/>
      <c r="N259" s="270" t="s">
        <v>408</v>
      </c>
      <c r="O259" s="260" t="s">
        <v>429</v>
      </c>
      <c r="P259" s="352"/>
      <c r="Q259" s="270" t="s">
        <v>411</v>
      </c>
      <c r="R259" s="354"/>
      <c r="S259" s="271" t="s">
        <v>413</v>
      </c>
      <c r="T259" s="356"/>
    </row>
    <row r="260" spans="2:20" x14ac:dyDescent="0.25">
      <c r="B260" s="351"/>
      <c r="C260" s="270"/>
      <c r="D260" s="292" t="s">
        <v>430</v>
      </c>
      <c r="E260" s="292" t="s">
        <v>417</v>
      </c>
      <c r="F260" s="292" t="s">
        <v>417</v>
      </c>
      <c r="G260" s="304" t="s">
        <v>418</v>
      </c>
      <c r="H260" s="301"/>
      <c r="I260" s="270"/>
      <c r="J260" s="270"/>
      <c r="K260" s="304" t="s">
        <v>420</v>
      </c>
      <c r="L260" s="292" t="s">
        <v>421</v>
      </c>
      <c r="M260" s="292" t="s">
        <v>338</v>
      </c>
      <c r="N260" s="270" t="s">
        <v>422</v>
      </c>
      <c r="O260" s="273" t="s">
        <v>423</v>
      </c>
      <c r="P260" s="352"/>
      <c r="Q260" s="305"/>
      <c r="R260" s="354"/>
      <c r="S260" s="271"/>
      <c r="T260" s="356"/>
    </row>
    <row r="261" spans="2:20" x14ac:dyDescent="0.25">
      <c r="B261" s="351"/>
      <c r="C261" s="274" t="s">
        <v>396</v>
      </c>
      <c r="D261" s="275">
        <v>9.16</v>
      </c>
      <c r="E261" s="274">
        <v>0.96599999999999997</v>
      </c>
      <c r="F261" s="274">
        <v>1</v>
      </c>
      <c r="G261" s="301">
        <v>32.61</v>
      </c>
      <c r="H261" s="301">
        <v>1</v>
      </c>
      <c r="I261" s="285"/>
      <c r="J261" s="274"/>
      <c r="K261" s="301">
        <v>1422.9860000000001</v>
      </c>
      <c r="L261" s="279">
        <f>(D261/E261)*F261*G261*K261*H261</f>
        <v>440017.32183602493</v>
      </c>
      <c r="M261" s="297">
        <f t="shared" ref="M261" si="245">(L261*60)/1000000</f>
        <v>26.401039310161497</v>
      </c>
      <c r="N261" s="277">
        <f>K261/1000</f>
        <v>1.4229860000000001</v>
      </c>
      <c r="O261" s="280">
        <f t="shared" ref="O261" si="246">M261/N261</f>
        <v>18.553267080745346</v>
      </c>
      <c r="P261" s="352"/>
      <c r="Q261" s="303">
        <f>(O261/$P$148)*100</f>
        <v>9.1748934923293408</v>
      </c>
      <c r="R261" s="355"/>
      <c r="S261" s="280">
        <f>(Q261/100)*$R$148</f>
        <v>1.7088304918445523</v>
      </c>
      <c r="T261" s="356"/>
    </row>
    <row r="264" spans="2:20" ht="63" x14ac:dyDescent="0.25">
      <c r="B264" s="358" t="s">
        <v>400</v>
      </c>
      <c r="C264" s="358" t="s">
        <v>401</v>
      </c>
      <c r="D264" s="270" t="s">
        <v>402</v>
      </c>
      <c r="E264" s="270" t="s">
        <v>403</v>
      </c>
      <c r="F264" s="270" t="s">
        <v>386</v>
      </c>
      <c r="G264" s="301" t="s">
        <v>404</v>
      </c>
      <c r="H264" s="301" t="s">
        <v>405</v>
      </c>
      <c r="I264" s="270" t="s">
        <v>406</v>
      </c>
      <c r="J264" s="270" t="s">
        <v>407</v>
      </c>
      <c r="K264" s="301" t="s">
        <v>408</v>
      </c>
      <c r="L264" s="358" t="s">
        <v>409</v>
      </c>
      <c r="M264" s="358"/>
      <c r="N264" s="270" t="s">
        <v>408</v>
      </c>
      <c r="O264" s="358" t="s">
        <v>410</v>
      </c>
      <c r="P264" s="358"/>
      <c r="Q264" s="270" t="s">
        <v>411</v>
      </c>
      <c r="R264" s="270" t="s">
        <v>412</v>
      </c>
      <c r="S264" s="271" t="s">
        <v>413</v>
      </c>
      <c r="T264" s="270" t="s">
        <v>410</v>
      </c>
    </row>
    <row r="265" spans="2:20" x14ac:dyDescent="0.25">
      <c r="B265" s="358"/>
      <c r="C265" s="358"/>
      <c r="D265" s="270" t="s">
        <v>416</v>
      </c>
      <c r="E265" s="270" t="s">
        <v>417</v>
      </c>
      <c r="F265" s="270" t="s">
        <v>417</v>
      </c>
      <c r="G265" s="301" t="s">
        <v>418</v>
      </c>
      <c r="H265" s="301" t="s">
        <v>417</v>
      </c>
      <c r="I265" s="270" t="s">
        <v>419</v>
      </c>
      <c r="J265" s="270" t="s">
        <v>419</v>
      </c>
      <c r="K265" s="301" t="s">
        <v>420</v>
      </c>
      <c r="L265" s="270" t="s">
        <v>421</v>
      </c>
      <c r="M265" s="270" t="s">
        <v>338</v>
      </c>
      <c r="N265" s="270" t="s">
        <v>422</v>
      </c>
      <c r="O265" s="273" t="s">
        <v>423</v>
      </c>
      <c r="P265" s="270" t="s">
        <v>423</v>
      </c>
      <c r="Q265" s="270"/>
      <c r="R265" s="270" t="s">
        <v>423</v>
      </c>
      <c r="S265" s="270" t="s">
        <v>423</v>
      </c>
      <c r="T265" s="270" t="s">
        <v>423</v>
      </c>
    </row>
    <row r="266" spans="2:20" x14ac:dyDescent="0.25">
      <c r="B266" s="351">
        <v>60</v>
      </c>
      <c r="C266" s="274" t="s">
        <v>389</v>
      </c>
      <c r="D266" s="275">
        <v>4.8</v>
      </c>
      <c r="E266" s="274">
        <v>0.96899999999999997</v>
      </c>
      <c r="F266" s="274">
        <v>0.43</v>
      </c>
      <c r="G266" s="301">
        <v>32.020000000000003</v>
      </c>
      <c r="H266" s="302">
        <v>1</v>
      </c>
      <c r="I266" s="274">
        <v>39</v>
      </c>
      <c r="J266" s="276">
        <f>H266*I266</f>
        <v>39</v>
      </c>
      <c r="K266" s="301">
        <v>1417.62</v>
      </c>
      <c r="L266" s="279">
        <f>(D266/E266)*F266*G266*J266*K266</f>
        <v>3770784.2305783289</v>
      </c>
      <c r="M266" s="297">
        <f>(L266*60)/1000000</f>
        <v>226.24705383469976</v>
      </c>
      <c r="N266" s="277">
        <f>K266/1000</f>
        <v>1.4176199999999999</v>
      </c>
      <c r="O266" s="280">
        <f>M266/N266</f>
        <v>159.59640371517034</v>
      </c>
      <c r="P266" s="352">
        <f>SUM(O266:O273)</f>
        <v>191.20772254380458</v>
      </c>
      <c r="Q266" s="303">
        <f>(O266/$P$148)*100</f>
        <v>78.923027382337324</v>
      </c>
      <c r="R266" s="353">
        <f>$T$22/($P$22/P266)</f>
        <v>17.610999999999997</v>
      </c>
      <c r="S266" s="280">
        <f>(Q266/100)*$R$148</f>
        <v>14.699470442068368</v>
      </c>
      <c r="T266" s="356">
        <f>SUM(S266:S273)</f>
        <v>17.610999999999997</v>
      </c>
    </row>
    <row r="267" spans="2:20" x14ac:dyDescent="0.25">
      <c r="B267" s="351"/>
      <c r="C267" s="274" t="s">
        <v>391</v>
      </c>
      <c r="D267" s="275">
        <v>5.2299999999999999E-2</v>
      </c>
      <c r="E267" s="274">
        <v>0.94299999999999995</v>
      </c>
      <c r="F267" s="274">
        <v>0.43</v>
      </c>
      <c r="G267" s="301">
        <v>32.020000000000003</v>
      </c>
      <c r="H267" s="302">
        <v>1</v>
      </c>
      <c r="I267" s="274">
        <v>16</v>
      </c>
      <c r="J267" s="276">
        <f t="shared" ref="J267:J270" si="247">H267*I267</f>
        <v>16</v>
      </c>
      <c r="K267" s="301">
        <v>1417.62</v>
      </c>
      <c r="L267" s="279">
        <f t="shared" ref="L267:L269" si="248">(D267/E267)*F267*G267*J267*K267</f>
        <v>17320.466848502227</v>
      </c>
      <c r="M267" s="297">
        <f t="shared" ref="M267:M269" si="249">(L267*60)/1000000</f>
        <v>1.0392280109101335</v>
      </c>
      <c r="N267" s="277">
        <f t="shared" ref="N267:N269" si="250">K267/1000</f>
        <v>1.4176199999999999</v>
      </c>
      <c r="O267" s="280">
        <f t="shared" ref="O267:O269" si="251">M267/N267</f>
        <v>0.73307939427359492</v>
      </c>
      <c r="P267" s="352"/>
      <c r="Q267" s="303">
        <f t="shared" ref="Q267:Q270" si="252">(O267/$P$148)*100</f>
        <v>0.3625197295230948</v>
      </c>
      <c r="R267" s="354"/>
      <c r="S267" s="280">
        <f t="shared" ref="S267:S270" si="253">(Q267/100)*$R$148</f>
        <v>6.7519559570061893E-2</v>
      </c>
      <c r="T267" s="356"/>
    </row>
    <row r="268" spans="2:20" x14ac:dyDescent="0.25">
      <c r="B268" s="351"/>
      <c r="C268" s="274" t="s">
        <v>425</v>
      </c>
      <c r="D268" s="275">
        <v>9.8000000000000004E-2</v>
      </c>
      <c r="E268" s="274">
        <v>0.99539999999999995</v>
      </c>
      <c r="F268" s="274">
        <v>0.78</v>
      </c>
      <c r="G268" s="301">
        <v>32.020000000000003</v>
      </c>
      <c r="H268" s="302">
        <v>1</v>
      </c>
      <c r="I268" s="274">
        <v>61</v>
      </c>
      <c r="J268" s="276">
        <f t="shared" si="247"/>
        <v>61</v>
      </c>
      <c r="K268" s="301">
        <v>1417.62</v>
      </c>
      <c r="L268" s="279">
        <f t="shared" si="248"/>
        <v>212634.64979949372</v>
      </c>
      <c r="M268" s="297">
        <f t="shared" si="249"/>
        <v>12.758078987969624</v>
      </c>
      <c r="N268" s="277">
        <f t="shared" si="250"/>
        <v>1.4176199999999999</v>
      </c>
      <c r="O268" s="280">
        <f t="shared" si="251"/>
        <v>8.9996465822784835</v>
      </c>
      <c r="P268" s="352"/>
      <c r="Q268" s="303">
        <f t="shared" si="252"/>
        <v>4.4504721729955126</v>
      </c>
      <c r="R268" s="354"/>
      <c r="S268" s="280">
        <f t="shared" si="253"/>
        <v>0.82890363345129325</v>
      </c>
      <c r="T268" s="356"/>
    </row>
    <row r="269" spans="2:20" x14ac:dyDescent="0.25">
      <c r="B269" s="351"/>
      <c r="C269" s="274" t="s">
        <v>426</v>
      </c>
      <c r="D269" s="275">
        <v>0.2286</v>
      </c>
      <c r="E269" s="274">
        <v>0.97499999999999998</v>
      </c>
      <c r="F269" s="274">
        <v>0.25</v>
      </c>
      <c r="G269" s="301">
        <v>32.020000000000003</v>
      </c>
      <c r="H269" s="302">
        <v>1</v>
      </c>
      <c r="I269" s="274">
        <v>11</v>
      </c>
      <c r="J269" s="276">
        <f t="shared" si="247"/>
        <v>11</v>
      </c>
      <c r="K269" s="301">
        <v>1417.62</v>
      </c>
      <c r="L269" s="279">
        <f t="shared" si="248"/>
        <v>29267.488976676923</v>
      </c>
      <c r="M269" s="297">
        <f t="shared" si="249"/>
        <v>1.7560493386006153</v>
      </c>
      <c r="N269" s="277">
        <f t="shared" si="250"/>
        <v>1.4176199999999999</v>
      </c>
      <c r="O269" s="280">
        <f t="shared" si="251"/>
        <v>1.2387306461538461</v>
      </c>
      <c r="P269" s="352"/>
      <c r="Q269" s="303">
        <f t="shared" si="252"/>
        <v>0.61257252939244933</v>
      </c>
      <c r="R269" s="354"/>
      <c r="S269" s="280">
        <f t="shared" si="253"/>
        <v>0.11409207284720223</v>
      </c>
      <c r="T269" s="356"/>
    </row>
    <row r="270" spans="2:20" x14ac:dyDescent="0.25">
      <c r="B270" s="351"/>
      <c r="C270" s="274" t="s">
        <v>395</v>
      </c>
      <c r="D270" s="275">
        <v>4.3999999999999997E-2</v>
      </c>
      <c r="E270" s="274">
        <v>0.96789999999999998</v>
      </c>
      <c r="F270" s="274">
        <v>0.43</v>
      </c>
      <c r="G270" s="301">
        <v>32.020000000000003</v>
      </c>
      <c r="H270" s="302">
        <v>1</v>
      </c>
      <c r="I270" s="274">
        <v>64.5</v>
      </c>
      <c r="J270" s="276">
        <f t="shared" si="247"/>
        <v>64.5</v>
      </c>
      <c r="K270" s="301">
        <v>1417.62</v>
      </c>
      <c r="L270" s="279">
        <f t="shared" ref="L270" si="254">(D270/E270)*F270*G270*J270*K270</f>
        <v>57231.023941952677</v>
      </c>
      <c r="M270" s="297">
        <f t="shared" ref="M270" si="255">(L270*60)/1000000</f>
        <v>3.4338614365171605</v>
      </c>
      <c r="N270" s="306">
        <f t="shared" ref="N270" si="256">K270/1000</f>
        <v>1.4176199999999999</v>
      </c>
      <c r="O270" s="280">
        <f t="shared" ref="O270" si="257">M270/N270</f>
        <v>2.4222721438165098</v>
      </c>
      <c r="P270" s="352"/>
      <c r="Q270" s="303">
        <f t="shared" si="252"/>
        <v>1.1978531237776975</v>
      </c>
      <c r="R270" s="354"/>
      <c r="S270" s="280">
        <f t="shared" si="253"/>
        <v>0.22310100322950974</v>
      </c>
      <c r="T270" s="356"/>
    </row>
    <row r="271" spans="2:20" ht="63" x14ac:dyDescent="0.25">
      <c r="B271" s="351"/>
      <c r="C271" s="274"/>
      <c r="D271" s="292" t="s">
        <v>427</v>
      </c>
      <c r="E271" s="292" t="s">
        <v>403</v>
      </c>
      <c r="F271" s="292" t="s">
        <v>428</v>
      </c>
      <c r="G271" s="304" t="s">
        <v>404</v>
      </c>
      <c r="H271" s="301"/>
      <c r="I271" s="270"/>
      <c r="J271" s="270"/>
      <c r="K271" s="304" t="s">
        <v>408</v>
      </c>
      <c r="L271" s="357" t="s">
        <v>409</v>
      </c>
      <c r="M271" s="357"/>
      <c r="N271" s="270" t="s">
        <v>408</v>
      </c>
      <c r="O271" s="260" t="s">
        <v>429</v>
      </c>
      <c r="P271" s="352"/>
      <c r="Q271" s="270" t="s">
        <v>411</v>
      </c>
      <c r="R271" s="354"/>
      <c r="S271" s="271" t="s">
        <v>413</v>
      </c>
      <c r="T271" s="356"/>
    </row>
    <row r="272" spans="2:20" x14ac:dyDescent="0.25">
      <c r="B272" s="351"/>
      <c r="C272" s="270"/>
      <c r="D272" s="292" t="s">
        <v>430</v>
      </c>
      <c r="E272" s="292" t="s">
        <v>417</v>
      </c>
      <c r="F272" s="292" t="s">
        <v>417</v>
      </c>
      <c r="G272" s="304" t="s">
        <v>418</v>
      </c>
      <c r="H272" s="301"/>
      <c r="I272" s="270"/>
      <c r="J272" s="270"/>
      <c r="K272" s="304" t="s">
        <v>420</v>
      </c>
      <c r="L272" s="292" t="s">
        <v>421</v>
      </c>
      <c r="M272" s="292" t="s">
        <v>338</v>
      </c>
      <c r="N272" s="270" t="s">
        <v>422</v>
      </c>
      <c r="O272" s="273" t="s">
        <v>423</v>
      </c>
      <c r="P272" s="352"/>
      <c r="Q272" s="305"/>
      <c r="R272" s="354"/>
      <c r="S272" s="271"/>
      <c r="T272" s="356"/>
    </row>
    <row r="273" spans="2:20" x14ac:dyDescent="0.25">
      <c r="B273" s="351"/>
      <c r="C273" s="274" t="s">
        <v>396</v>
      </c>
      <c r="D273" s="275">
        <v>9.16</v>
      </c>
      <c r="E273" s="274">
        <v>0.96599999999999997</v>
      </c>
      <c r="F273" s="274">
        <v>1</v>
      </c>
      <c r="G273" s="301">
        <v>32.020000000000003</v>
      </c>
      <c r="H273" s="301">
        <v>1</v>
      </c>
      <c r="I273" s="285"/>
      <c r="J273" s="274"/>
      <c r="K273" s="301">
        <v>1417.62</v>
      </c>
      <c r="L273" s="279">
        <f>(D273/E273)*F273*G273*K273*H273</f>
        <v>430427.00039751554</v>
      </c>
      <c r="M273" s="297">
        <f t="shared" ref="M273" si="258">(L273*60)/1000000</f>
        <v>25.825620023850934</v>
      </c>
      <c r="N273" s="277">
        <f>K273/1000</f>
        <v>1.4176199999999999</v>
      </c>
      <c r="O273" s="280">
        <f t="shared" ref="O273" si="259">M273/N273</f>
        <v>18.217590062111803</v>
      </c>
      <c r="P273" s="352"/>
      <c r="Q273" s="303">
        <f>(O273/$P$148)*100</f>
        <v>9.0088957259854485</v>
      </c>
      <c r="R273" s="355"/>
      <c r="S273" s="280">
        <f>(Q273/100)*$R$148</f>
        <v>1.6779132888335653</v>
      </c>
      <c r="T273" s="356"/>
    </row>
  </sheetData>
  <mergeCells count="206">
    <mergeCell ref="B13:L13"/>
    <mergeCell ref="B19:S19"/>
    <mergeCell ref="B20:B21"/>
    <mergeCell ref="C20:C21"/>
    <mergeCell ref="L20:M20"/>
    <mergeCell ref="O20:P20"/>
    <mergeCell ref="D5:E5"/>
    <mergeCell ref="G5:I11"/>
    <mergeCell ref="K5:L5"/>
    <mergeCell ref="K6:L6"/>
    <mergeCell ref="K7:L7"/>
    <mergeCell ref="K8:L8"/>
    <mergeCell ref="B22:B29"/>
    <mergeCell ref="P22:P29"/>
    <mergeCell ref="R22:R29"/>
    <mergeCell ref="T22:T29"/>
    <mergeCell ref="L27:M27"/>
    <mergeCell ref="B31:B32"/>
    <mergeCell ref="C31:C32"/>
    <mergeCell ref="L31:M31"/>
    <mergeCell ref="O31:P31"/>
    <mergeCell ref="B33:B40"/>
    <mergeCell ref="P33:P40"/>
    <mergeCell ref="R33:R40"/>
    <mergeCell ref="T33:T40"/>
    <mergeCell ref="L38:M38"/>
    <mergeCell ref="B42:B43"/>
    <mergeCell ref="C42:C43"/>
    <mergeCell ref="L42:M42"/>
    <mergeCell ref="O42:P42"/>
    <mergeCell ref="B44:B51"/>
    <mergeCell ref="P44:P51"/>
    <mergeCell ref="R44:R51"/>
    <mergeCell ref="T44:T51"/>
    <mergeCell ref="L49:M49"/>
    <mergeCell ref="B53:B54"/>
    <mergeCell ref="C53:C54"/>
    <mergeCell ref="L53:M53"/>
    <mergeCell ref="O53:P53"/>
    <mergeCell ref="B55:B62"/>
    <mergeCell ref="P55:P62"/>
    <mergeCell ref="R55:R62"/>
    <mergeCell ref="T55:T62"/>
    <mergeCell ref="L60:M60"/>
    <mergeCell ref="B65:B66"/>
    <mergeCell ref="C65:C66"/>
    <mergeCell ref="L65:M65"/>
    <mergeCell ref="O65:P65"/>
    <mergeCell ref="B67:B74"/>
    <mergeCell ref="P67:P74"/>
    <mergeCell ref="R67:R74"/>
    <mergeCell ref="T67:T74"/>
    <mergeCell ref="L72:M72"/>
    <mergeCell ref="B77:B78"/>
    <mergeCell ref="C77:C78"/>
    <mergeCell ref="L77:M77"/>
    <mergeCell ref="O77:P77"/>
    <mergeCell ref="B79:B86"/>
    <mergeCell ref="P79:P86"/>
    <mergeCell ref="R79:R86"/>
    <mergeCell ref="T79:T86"/>
    <mergeCell ref="L84:M84"/>
    <mergeCell ref="B88:B89"/>
    <mergeCell ref="C88:C89"/>
    <mergeCell ref="L88:M88"/>
    <mergeCell ref="O88:P88"/>
    <mergeCell ref="B90:B97"/>
    <mergeCell ref="P90:P97"/>
    <mergeCell ref="R90:R97"/>
    <mergeCell ref="T90:T97"/>
    <mergeCell ref="L95:M95"/>
    <mergeCell ref="B100:B101"/>
    <mergeCell ref="C100:C101"/>
    <mergeCell ref="L100:M100"/>
    <mergeCell ref="O100:P100"/>
    <mergeCell ref="B102:B109"/>
    <mergeCell ref="P102:P109"/>
    <mergeCell ref="R102:R109"/>
    <mergeCell ref="T102:T109"/>
    <mergeCell ref="L107:M107"/>
    <mergeCell ref="B112:B113"/>
    <mergeCell ref="C112:C113"/>
    <mergeCell ref="L112:M112"/>
    <mergeCell ref="O112:P112"/>
    <mergeCell ref="B114:B121"/>
    <mergeCell ref="P114:P121"/>
    <mergeCell ref="R114:R121"/>
    <mergeCell ref="T114:T121"/>
    <mergeCell ref="L119:M119"/>
    <mergeCell ref="B123:B124"/>
    <mergeCell ref="C123:C124"/>
    <mergeCell ref="L123:M123"/>
    <mergeCell ref="O123:P123"/>
    <mergeCell ref="B125:B132"/>
    <mergeCell ref="P125:P132"/>
    <mergeCell ref="R125:R132"/>
    <mergeCell ref="T125:T132"/>
    <mergeCell ref="L130:M130"/>
    <mergeCell ref="B134:B135"/>
    <mergeCell ref="C134:C135"/>
    <mergeCell ref="L134:M134"/>
    <mergeCell ref="O134:P134"/>
    <mergeCell ref="B136:B143"/>
    <mergeCell ref="P136:P143"/>
    <mergeCell ref="R136:R143"/>
    <mergeCell ref="T136:T143"/>
    <mergeCell ref="L141:M141"/>
    <mergeCell ref="B146:B147"/>
    <mergeCell ref="C146:C147"/>
    <mergeCell ref="L146:M146"/>
    <mergeCell ref="O146:P146"/>
    <mergeCell ref="B148:B155"/>
    <mergeCell ref="P148:P155"/>
    <mergeCell ref="R148:R155"/>
    <mergeCell ref="T148:T155"/>
    <mergeCell ref="L153:M153"/>
    <mergeCell ref="B157:B158"/>
    <mergeCell ref="C157:C158"/>
    <mergeCell ref="L157:M157"/>
    <mergeCell ref="O157:P157"/>
    <mergeCell ref="B159:B166"/>
    <mergeCell ref="P159:P166"/>
    <mergeCell ref="R159:R166"/>
    <mergeCell ref="T159:T166"/>
    <mergeCell ref="L164:M164"/>
    <mergeCell ref="B168:B169"/>
    <mergeCell ref="C168:C169"/>
    <mergeCell ref="L168:M168"/>
    <mergeCell ref="O168:P168"/>
    <mergeCell ref="B170:B177"/>
    <mergeCell ref="P170:P177"/>
    <mergeCell ref="R170:R177"/>
    <mergeCell ref="T170:T177"/>
    <mergeCell ref="L175:M175"/>
    <mergeCell ref="B180:B181"/>
    <mergeCell ref="C180:C181"/>
    <mergeCell ref="L180:M180"/>
    <mergeCell ref="O180:P180"/>
    <mergeCell ref="B182:B189"/>
    <mergeCell ref="P182:P189"/>
    <mergeCell ref="R182:R189"/>
    <mergeCell ref="T182:T189"/>
    <mergeCell ref="L187:M187"/>
    <mergeCell ref="B192:B193"/>
    <mergeCell ref="C192:C193"/>
    <mergeCell ref="L192:M192"/>
    <mergeCell ref="O192:P192"/>
    <mergeCell ref="B194:B201"/>
    <mergeCell ref="P194:P201"/>
    <mergeCell ref="R194:R201"/>
    <mergeCell ref="T194:T201"/>
    <mergeCell ref="L199:M199"/>
    <mergeCell ref="B204:B205"/>
    <mergeCell ref="C204:C205"/>
    <mergeCell ref="L204:M204"/>
    <mergeCell ref="O204:P204"/>
    <mergeCell ref="B206:B213"/>
    <mergeCell ref="P206:P213"/>
    <mergeCell ref="R206:R213"/>
    <mergeCell ref="T206:T213"/>
    <mergeCell ref="L211:M211"/>
    <mergeCell ref="B216:B217"/>
    <mergeCell ref="C216:C217"/>
    <mergeCell ref="L216:M216"/>
    <mergeCell ref="O216:P216"/>
    <mergeCell ref="B218:B225"/>
    <mergeCell ref="P218:P225"/>
    <mergeCell ref="R218:R225"/>
    <mergeCell ref="T218:T225"/>
    <mergeCell ref="L223:M223"/>
    <mergeCell ref="B228:B229"/>
    <mergeCell ref="C228:C229"/>
    <mergeCell ref="L228:M228"/>
    <mergeCell ref="O228:P228"/>
    <mergeCell ref="B230:B237"/>
    <mergeCell ref="P230:P237"/>
    <mergeCell ref="R230:R237"/>
    <mergeCell ref="T230:T237"/>
    <mergeCell ref="L235:M235"/>
    <mergeCell ref="B240:B241"/>
    <mergeCell ref="C240:C241"/>
    <mergeCell ref="L240:M240"/>
    <mergeCell ref="O240:P240"/>
    <mergeCell ref="B242:B249"/>
    <mergeCell ref="P242:P249"/>
    <mergeCell ref="R242:R249"/>
    <mergeCell ref="T242:T249"/>
    <mergeCell ref="L247:M247"/>
    <mergeCell ref="B252:B253"/>
    <mergeCell ref="C252:C253"/>
    <mergeCell ref="L252:M252"/>
    <mergeCell ref="O252:P252"/>
    <mergeCell ref="B266:B273"/>
    <mergeCell ref="P266:P273"/>
    <mergeCell ref="R266:R273"/>
    <mergeCell ref="T266:T273"/>
    <mergeCell ref="L271:M271"/>
    <mergeCell ref="B254:B261"/>
    <mergeCell ref="P254:P261"/>
    <mergeCell ref="R254:R261"/>
    <mergeCell ref="T254:T261"/>
    <mergeCell ref="L259:M259"/>
    <mergeCell ref="B264:B265"/>
    <mergeCell ref="C264:C265"/>
    <mergeCell ref="L264:M264"/>
    <mergeCell ref="O264:P26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E68"/>
  <sheetViews>
    <sheetView topLeftCell="A4" zoomScale="80" zoomScaleNormal="80" workbookViewId="0">
      <selection activeCell="E16" sqref="E16"/>
    </sheetView>
  </sheetViews>
  <sheetFormatPr defaultRowHeight="15.75" x14ac:dyDescent="0.25"/>
  <cols>
    <col min="1" max="1" width="9.140625" style="3"/>
    <col min="2" max="2" width="28.5703125" style="2" customWidth="1"/>
    <col min="3" max="3" width="17.28515625" style="2" customWidth="1"/>
    <col min="4" max="4" width="28.5703125" style="2" customWidth="1"/>
    <col min="5" max="5" width="13.7109375" style="3" bestFit="1" customWidth="1"/>
    <col min="6" max="16384" width="9.140625" style="3"/>
  </cols>
  <sheetData>
    <row r="1" spans="2:5" ht="69" customHeight="1" thickBot="1" x14ac:dyDescent="0.3">
      <c r="B1" s="61" t="s">
        <v>147</v>
      </c>
      <c r="C1" s="59" t="s">
        <v>12</v>
      </c>
      <c r="D1" s="60" t="s">
        <v>2</v>
      </c>
    </row>
    <row r="4" spans="2:5" ht="31.5" x14ac:dyDescent="0.25">
      <c r="B4" s="5" t="s">
        <v>15</v>
      </c>
      <c r="C4" s="5" t="s">
        <v>10</v>
      </c>
      <c r="D4" s="5" t="s">
        <v>1</v>
      </c>
      <c r="E4" s="31" t="s">
        <v>148</v>
      </c>
    </row>
    <row r="5" spans="2:5" x14ac:dyDescent="0.25">
      <c r="B5" s="97">
        <v>0.5</v>
      </c>
      <c r="C5" s="80">
        <v>63.847397180814866</v>
      </c>
      <c r="D5" s="80">
        <v>6.9154266082630542</v>
      </c>
      <c r="E5" s="114">
        <f>EXP(-3.751 + 0.422 * LN(C5) + 0.515 * LN(D5))</f>
        <v>0.36748414020496839</v>
      </c>
    </row>
    <row r="6" spans="2:5" x14ac:dyDescent="0.25">
      <c r="B6" s="97">
        <v>1</v>
      </c>
      <c r="C6" s="80">
        <v>73.134202609885094</v>
      </c>
      <c r="D6" s="80">
        <v>9.3633691865002202</v>
      </c>
      <c r="E6" s="114">
        <f t="shared" ref="E6:E68" si="0">EXP(-3.751 + 0.422 * LN(C6) + 0.515 * LN(D6))</f>
        <v>0.45489149627609493</v>
      </c>
    </row>
    <row r="7" spans="2:5" x14ac:dyDescent="0.25">
      <c r="B7" s="97">
        <v>1.5</v>
      </c>
      <c r="C7" s="80">
        <v>80.22</v>
      </c>
      <c r="D7" s="80">
        <v>11.3</v>
      </c>
      <c r="E7" s="114">
        <f t="shared" si="0"/>
        <v>0.52107960864925573</v>
      </c>
    </row>
    <row r="8" spans="2:5" x14ac:dyDescent="0.25">
      <c r="B8" s="97">
        <v>2</v>
      </c>
      <c r="C8" s="80">
        <v>85.893161073396499</v>
      </c>
      <c r="D8" s="80">
        <v>12.915540493605725</v>
      </c>
      <c r="E8" s="114">
        <f t="shared" si="0"/>
        <v>0.5745329000718814</v>
      </c>
    </row>
    <row r="9" spans="2:5" x14ac:dyDescent="0.25">
      <c r="B9" s="97">
        <v>3</v>
      </c>
      <c r="C9" s="80">
        <v>94.542247808106112</v>
      </c>
      <c r="D9" s="80">
        <v>15.501380986241351</v>
      </c>
      <c r="E9" s="114">
        <f t="shared" si="0"/>
        <v>0.65722835067297258</v>
      </c>
    </row>
    <row r="10" spans="2:5" x14ac:dyDescent="0.25">
      <c r="B10" s="122">
        <v>4</v>
      </c>
      <c r="C10" s="12">
        <v>102.79377912809166</v>
      </c>
      <c r="D10" s="12">
        <v>17.658377373442054</v>
      </c>
      <c r="E10" s="113">
        <f t="shared" si="0"/>
        <v>0.72810004960674624</v>
      </c>
    </row>
    <row r="11" spans="2:5" x14ac:dyDescent="0.25">
      <c r="B11" s="97">
        <v>4.5</v>
      </c>
      <c r="C11" s="80">
        <v>106.68</v>
      </c>
      <c r="D11" s="80">
        <v>18.68</v>
      </c>
      <c r="E11" s="114">
        <f t="shared" si="0"/>
        <v>0.76132749840348457</v>
      </c>
    </row>
    <row r="12" spans="2:5" x14ac:dyDescent="0.25">
      <c r="B12" s="97">
        <v>5</v>
      </c>
      <c r="C12" s="80">
        <v>110.31860080082637</v>
      </c>
      <c r="D12" s="80">
        <v>19.714719894457716</v>
      </c>
      <c r="E12" s="114">
        <f t="shared" si="0"/>
        <v>0.79391925200613322</v>
      </c>
    </row>
    <row r="13" spans="2:5" x14ac:dyDescent="0.25">
      <c r="B13" s="97">
        <v>6</v>
      </c>
      <c r="C13" s="80">
        <v>116.94293516675691</v>
      </c>
      <c r="D13" s="80">
        <v>21.923103271580395</v>
      </c>
      <c r="E13" s="114">
        <f t="shared" si="0"/>
        <v>0.85943090632727492</v>
      </c>
    </row>
    <row r="14" spans="2:5" x14ac:dyDescent="0.25">
      <c r="B14" s="122">
        <v>7</v>
      </c>
      <c r="C14" s="12">
        <v>122.86468769382844</v>
      </c>
      <c r="D14" s="12">
        <v>24.506577270969409</v>
      </c>
      <c r="E14" s="113">
        <f t="shared" si="0"/>
        <v>0.9293519107771181</v>
      </c>
    </row>
    <row r="15" spans="2:5" x14ac:dyDescent="0.25">
      <c r="B15" s="122">
        <v>8</v>
      </c>
      <c r="C15" s="12">
        <v>128.39169770546997</v>
      </c>
      <c r="D15" s="12">
        <v>27.656408486783047</v>
      </c>
      <c r="E15" s="113">
        <f t="shared" si="0"/>
        <v>1.0076015223431993</v>
      </c>
    </row>
    <row r="16" spans="2:5" x14ac:dyDescent="0.25">
      <c r="B16" s="122">
        <v>9</v>
      </c>
      <c r="C16" s="12">
        <v>134.09393224350492</v>
      </c>
      <c r="D16" s="12">
        <v>31.490091534874679</v>
      </c>
      <c r="E16" s="113">
        <f t="shared" si="0"/>
        <v>1.0972046010210692</v>
      </c>
    </row>
    <row r="17" spans="2:5" x14ac:dyDescent="0.25">
      <c r="B17" s="122">
        <v>10</v>
      </c>
      <c r="C17" s="12">
        <v>140.86757931933013</v>
      </c>
      <c r="D17" s="12">
        <v>35.983608273747407</v>
      </c>
      <c r="E17" s="113">
        <f t="shared" si="0"/>
        <v>1.1999235804208825</v>
      </c>
    </row>
    <row r="18" spans="2:5" x14ac:dyDescent="0.25">
      <c r="B18" s="97">
        <v>10.3</v>
      </c>
      <c r="C18" s="80">
        <v>143.19999999999999</v>
      </c>
      <c r="D18" s="80">
        <v>37.43</v>
      </c>
      <c r="E18" s="114">
        <f t="shared" si="0"/>
        <v>1.2330411286523226</v>
      </c>
    </row>
    <row r="19" spans="2:5" x14ac:dyDescent="0.25">
      <c r="B19" s="122">
        <v>11</v>
      </c>
      <c r="C19" s="12">
        <v>148.96245456446943</v>
      </c>
      <c r="D19" s="12">
        <v>40.920969268335227</v>
      </c>
      <c r="E19" s="113">
        <f t="shared" si="0"/>
        <v>1.3126591223931585</v>
      </c>
    </row>
    <row r="20" spans="2:5" x14ac:dyDescent="0.25">
      <c r="B20" s="97">
        <v>12</v>
      </c>
      <c r="C20" s="80">
        <v>156.10069388016007</v>
      </c>
      <c r="D20" s="80">
        <v>45.921623136976415</v>
      </c>
      <c r="E20" s="114">
        <f t="shared" si="0"/>
        <v>1.4207481907426538</v>
      </c>
    </row>
    <row r="21" spans="2:5" x14ac:dyDescent="0.25">
      <c r="B21" s="97">
        <v>13</v>
      </c>
      <c r="C21" s="80">
        <v>160.01687553922528</v>
      </c>
      <c r="D21" s="80">
        <v>50.562975543985615</v>
      </c>
      <c r="E21" s="114">
        <f t="shared" si="0"/>
        <v>1.5086662024414661</v>
      </c>
    </row>
    <row r="22" spans="2:5" x14ac:dyDescent="0.25">
      <c r="B22" s="122">
        <v>14</v>
      </c>
      <c r="C22" s="12">
        <v>161.49732203973653</v>
      </c>
      <c r="D22" s="12">
        <v>54.528714320701638</v>
      </c>
      <c r="E22" s="113">
        <f t="shared" si="0"/>
        <v>1.5745961074725983</v>
      </c>
    </row>
    <row r="23" spans="2:5" x14ac:dyDescent="0.25">
      <c r="B23" s="97">
        <v>15</v>
      </c>
      <c r="C23" s="80">
        <v>161.96127689238583</v>
      </c>
      <c r="D23" s="80">
        <v>57.686469728875608</v>
      </c>
      <c r="E23" s="114">
        <f t="shared" si="0"/>
        <v>1.6228785191873281</v>
      </c>
    </row>
    <row r="24" spans="2:5" x14ac:dyDescent="0.25">
      <c r="B24" s="122">
        <v>16</v>
      </c>
      <c r="C24" s="12">
        <v>162.09649102155765</v>
      </c>
      <c r="D24" s="12">
        <v>60.067673083421695</v>
      </c>
      <c r="E24" s="113">
        <f t="shared" si="0"/>
        <v>1.657623441223901</v>
      </c>
    </row>
    <row r="25" spans="2:5" x14ac:dyDescent="0.25">
      <c r="B25" s="122">
        <v>17</v>
      </c>
      <c r="C25" s="12">
        <v>162.1349264047526</v>
      </c>
      <c r="D25" s="12">
        <v>61.796641842834646</v>
      </c>
      <c r="E25" s="113">
        <f t="shared" si="0"/>
        <v>1.6821945646287926</v>
      </c>
    </row>
    <row r="26" spans="2:5" x14ac:dyDescent="0.25">
      <c r="B26" s="122">
        <v>18</v>
      </c>
      <c r="C26" s="12">
        <v>162.14576263580773</v>
      </c>
      <c r="D26" s="12">
        <v>63.023877266443805</v>
      </c>
      <c r="E26" s="113">
        <f t="shared" si="0"/>
        <v>1.6993651152787927</v>
      </c>
    </row>
    <row r="27" spans="2:5" x14ac:dyDescent="0.25">
      <c r="B27" s="97">
        <v>19</v>
      </c>
      <c r="C27" s="80">
        <v>162.1488096325391</v>
      </c>
      <c r="D27" s="80">
        <v>63.886643380924738</v>
      </c>
      <c r="E27" s="114">
        <f t="shared" si="0"/>
        <v>1.7113198725208658</v>
      </c>
    </row>
    <row r="28" spans="2:5" x14ac:dyDescent="0.25">
      <c r="B28" s="97">
        <v>20</v>
      </c>
      <c r="C28" s="80">
        <v>162.14966567271529</v>
      </c>
      <c r="D28" s="80">
        <v>64.494109471333417</v>
      </c>
      <c r="E28" s="114">
        <f t="shared" si="0"/>
        <v>1.719684594176941</v>
      </c>
    </row>
    <row r="29" spans="2:5" x14ac:dyDescent="0.25">
      <c r="B29" s="122">
        <v>21</v>
      </c>
      <c r="C29" s="12">
        <v>162.14990610721546</v>
      </c>
      <c r="D29" s="12">
        <v>64.926599748981431</v>
      </c>
      <c r="E29" s="113">
        <f t="shared" si="0"/>
        <v>1.7256150344033536</v>
      </c>
    </row>
    <row r="30" spans="2:5" x14ac:dyDescent="0.25">
      <c r="B30" s="122">
        <v>22</v>
      </c>
      <c r="C30" s="12">
        <v>162.14997363165622</v>
      </c>
      <c r="D30" s="12">
        <v>65.325791591348548</v>
      </c>
      <c r="E30" s="113">
        <f t="shared" si="0"/>
        <v>1.7310712097433181</v>
      </c>
    </row>
    <row r="31" spans="2:5" x14ac:dyDescent="0.25">
      <c r="B31" s="162">
        <v>23</v>
      </c>
      <c r="C31" s="65">
        <v>162.14999259490992</v>
      </c>
      <c r="D31" s="65">
        <v>64.862678458374219</v>
      </c>
      <c r="E31" s="189">
        <f t="shared" si="0"/>
        <v>1.7247402821960902</v>
      </c>
    </row>
    <row r="32" spans="2:5" x14ac:dyDescent="0.25">
      <c r="B32" s="122">
        <v>24</v>
      </c>
      <c r="C32" s="12">
        <v>162.14999792041425</v>
      </c>
      <c r="D32" s="12">
        <v>65.515418464770889</v>
      </c>
      <c r="E32" s="113">
        <f t="shared" si="0"/>
        <v>1.7336573399662447</v>
      </c>
    </row>
    <row r="33" spans="2:5" x14ac:dyDescent="0.25">
      <c r="B33" s="97">
        <v>25</v>
      </c>
      <c r="C33" s="80">
        <v>162.14999941598637</v>
      </c>
      <c r="D33" s="80">
        <v>66.142514055682611</v>
      </c>
      <c r="E33" s="114">
        <f t="shared" si="0"/>
        <v>1.7421835611066414</v>
      </c>
    </row>
    <row r="34" spans="2:5" x14ac:dyDescent="0.25">
      <c r="B34" s="122">
        <v>26</v>
      </c>
      <c r="C34" s="12">
        <v>162.14999983599049</v>
      </c>
      <c r="D34" s="12">
        <v>66.744027504995557</v>
      </c>
      <c r="E34" s="113">
        <f t="shared" si="0"/>
        <v>1.7503251910137387</v>
      </c>
    </row>
    <row r="35" spans="2:5" x14ac:dyDescent="0.25">
      <c r="B35" s="122">
        <v>27</v>
      </c>
      <c r="C35" s="12">
        <v>162.14999995394095</v>
      </c>
      <c r="D35" s="12">
        <v>67.320021086595901</v>
      </c>
      <c r="E35" s="113">
        <f t="shared" si="0"/>
        <v>1.7580881141407607</v>
      </c>
    </row>
    <row r="36" spans="2:5" x14ac:dyDescent="0.25">
      <c r="B36" s="122">
        <v>28</v>
      </c>
      <c r="C36" s="12">
        <v>162.14999998706517</v>
      </c>
      <c r="D36" s="12">
        <v>67.870557074369813</v>
      </c>
      <c r="E36" s="113">
        <f t="shared" si="0"/>
        <v>1.7654778803718021</v>
      </c>
    </row>
    <row r="37" spans="2:5" x14ac:dyDescent="0.25">
      <c r="B37" s="122">
        <v>29</v>
      </c>
      <c r="C37" s="12">
        <v>162.14999999636748</v>
      </c>
      <c r="D37" s="12">
        <v>68.395697742203453</v>
      </c>
      <c r="E37" s="113">
        <f t="shared" si="0"/>
        <v>1.7724997251255588</v>
      </c>
    </row>
    <row r="38" spans="2:5" x14ac:dyDescent="0.25">
      <c r="B38" s="122">
        <v>30</v>
      </c>
      <c r="C38" s="12">
        <v>162.14999999897989</v>
      </c>
      <c r="D38" s="12">
        <v>68.895505363983034</v>
      </c>
      <c r="E38" s="113">
        <f t="shared" si="0"/>
        <v>1.7791585866113251</v>
      </c>
    </row>
    <row r="39" spans="2:5" x14ac:dyDescent="0.25">
      <c r="B39" s="122">
        <v>31</v>
      </c>
      <c r="C39" s="12">
        <v>162.14999999971351</v>
      </c>
      <c r="D39" s="12">
        <v>69.370042213594715</v>
      </c>
      <c r="E39" s="113">
        <f t="shared" si="0"/>
        <v>1.7854591213030413</v>
      </c>
    </row>
    <row r="40" spans="2:5" x14ac:dyDescent="0.25">
      <c r="B40" s="122">
        <v>32</v>
      </c>
      <c r="C40" s="12">
        <v>162.14999999991954</v>
      </c>
      <c r="D40" s="12">
        <v>69.819370564924668</v>
      </c>
      <c r="E40" s="113">
        <f t="shared" si="0"/>
        <v>1.791405718020088</v>
      </c>
    </row>
    <row r="41" spans="2:5" x14ac:dyDescent="0.25">
      <c r="B41" s="122">
        <v>33</v>
      </c>
      <c r="C41" s="12">
        <v>162.14999999997741</v>
      </c>
      <c r="D41" s="12">
        <v>70.243552691859051</v>
      </c>
      <c r="E41" s="113">
        <f t="shared" si="0"/>
        <v>1.7970025108023571</v>
      </c>
    </row>
    <row r="42" spans="2:5" x14ac:dyDescent="0.25">
      <c r="B42" s="122">
        <v>34</v>
      </c>
      <c r="C42" s="12">
        <v>162.14999999999367</v>
      </c>
      <c r="D42" s="12">
        <v>70.642650868284093</v>
      </c>
      <c r="E42" s="113">
        <f t="shared" si="0"/>
        <v>1.8022533907017566</v>
      </c>
    </row>
    <row r="43" spans="2:5" x14ac:dyDescent="0.25">
      <c r="B43" s="122">
        <v>35</v>
      </c>
      <c r="C43" s="12">
        <v>162.14999999999822</v>
      </c>
      <c r="D43" s="12">
        <v>71.016727368085924</v>
      </c>
      <c r="E43" s="113">
        <f t="shared" si="0"/>
        <v>1.8071620165861177</v>
      </c>
    </row>
    <row r="44" spans="2:5" x14ac:dyDescent="0.25">
      <c r="B44" s="122">
        <v>36</v>
      </c>
      <c r="C44" s="12">
        <v>162.14999999999949</v>
      </c>
      <c r="D44" s="12">
        <v>71.365844465150758</v>
      </c>
      <c r="E44" s="113">
        <f t="shared" si="0"/>
        <v>1.8117318250374792</v>
      </c>
    </row>
    <row r="45" spans="2:5" x14ac:dyDescent="0.25">
      <c r="B45" s="122">
        <v>37</v>
      </c>
      <c r="C45" s="12">
        <v>162.14999999999986</v>
      </c>
      <c r="D45" s="12">
        <v>71.690064433364697</v>
      </c>
      <c r="E45" s="113">
        <f t="shared" si="0"/>
        <v>1.8159660394167008</v>
      </c>
    </row>
    <row r="46" spans="2:5" x14ac:dyDescent="0.25">
      <c r="B46" s="122">
        <v>38</v>
      </c>
      <c r="C46" s="12">
        <v>162.14999999999998</v>
      </c>
      <c r="D46" s="12">
        <v>71.989449546614026</v>
      </c>
      <c r="E46" s="113">
        <f t="shared" si="0"/>
        <v>1.8198676781583289</v>
      </c>
    </row>
    <row r="47" spans="2:5" x14ac:dyDescent="0.25">
      <c r="B47" s="122">
        <v>39</v>
      </c>
      <c r="C47" s="12">
        <v>162.15</v>
      </c>
      <c r="D47" s="12">
        <v>72.264062078784832</v>
      </c>
      <c r="E47" s="113">
        <f t="shared" si="0"/>
        <v>1.823439562352613</v>
      </c>
    </row>
    <row r="48" spans="2:5" x14ac:dyDescent="0.25">
      <c r="B48" s="122">
        <v>40</v>
      </c>
      <c r="C48" s="12">
        <v>162.15</v>
      </c>
      <c r="D48" s="12">
        <v>72.513964303763331</v>
      </c>
      <c r="E48" s="113">
        <f t="shared" si="0"/>
        <v>1.8266843226654108</v>
      </c>
    </row>
    <row r="49" spans="2:5" x14ac:dyDescent="0.25">
      <c r="B49" s="122">
        <v>41</v>
      </c>
      <c r="C49" s="12">
        <v>162.15</v>
      </c>
      <c r="D49" s="12">
        <v>72.739218495435694</v>
      </c>
      <c r="E49" s="113">
        <f t="shared" si="0"/>
        <v>1.8296044056411949</v>
      </c>
    </row>
    <row r="50" spans="2:5" x14ac:dyDescent="0.25">
      <c r="B50" s="122">
        <v>42</v>
      </c>
      <c r="C50" s="12">
        <v>162.15</v>
      </c>
      <c r="D50" s="12">
        <v>72.939886927688079</v>
      </c>
      <c r="E50" s="113">
        <f t="shared" si="0"/>
        <v>1.8322020794294125</v>
      </c>
    </row>
    <row r="51" spans="2:5" x14ac:dyDescent="0.25">
      <c r="B51" s="122">
        <v>43</v>
      </c>
      <c r="C51" s="12">
        <v>162.15</v>
      </c>
      <c r="D51" s="12">
        <v>73.116031874406701</v>
      </c>
      <c r="E51" s="113">
        <f t="shared" si="0"/>
        <v>1.8344794389700327</v>
      </c>
    </row>
    <row r="52" spans="2:5" x14ac:dyDescent="0.25">
      <c r="B52" s="122">
        <v>44</v>
      </c>
      <c r="C52" s="12">
        <v>162.15</v>
      </c>
      <c r="D52" s="12">
        <v>73.26771560947769</v>
      </c>
      <c r="E52" s="113">
        <f t="shared" si="0"/>
        <v>1.8364384106700116</v>
      </c>
    </row>
    <row r="53" spans="2:5" x14ac:dyDescent="0.25">
      <c r="B53" s="122">
        <v>45</v>
      </c>
      <c r="C53" s="12">
        <v>162.15</v>
      </c>
      <c r="D53" s="12">
        <v>73.395000406787247</v>
      </c>
      <c r="E53" s="113">
        <f t="shared" si="0"/>
        <v>1.8380807565988027</v>
      </c>
    </row>
    <row r="54" spans="2:5" x14ac:dyDescent="0.25">
      <c r="B54" s="122">
        <v>46</v>
      </c>
      <c r="C54" s="12">
        <v>162.15</v>
      </c>
      <c r="D54" s="12">
        <v>73.497948540221557</v>
      </c>
      <c r="E54" s="113">
        <f t="shared" si="0"/>
        <v>1.839408078227633</v>
      </c>
    </row>
    <row r="55" spans="2:5" x14ac:dyDescent="0.25">
      <c r="B55" s="122">
        <v>47</v>
      </c>
      <c r="C55" s="12">
        <v>162.15</v>
      </c>
      <c r="D55" s="12">
        <v>73.576622283666779</v>
      </c>
      <c r="E55" s="113">
        <f t="shared" si="0"/>
        <v>1.8404218197342088</v>
      </c>
    </row>
    <row r="56" spans="2:5" x14ac:dyDescent="0.25">
      <c r="B56" s="122">
        <v>48</v>
      </c>
      <c r="C56" s="12">
        <v>162.15</v>
      </c>
      <c r="D56" s="12">
        <v>73.6310839110091</v>
      </c>
      <c r="E56" s="113">
        <f t="shared" si="0"/>
        <v>1.8411232708916732</v>
      </c>
    </row>
    <row r="57" spans="2:5" x14ac:dyDescent="0.25">
      <c r="B57" s="97">
        <v>49</v>
      </c>
      <c r="C57" s="80">
        <v>162.15</v>
      </c>
      <c r="D57" s="80">
        <v>73.66139569613469</v>
      </c>
      <c r="E57" s="114">
        <f t="shared" si="0"/>
        <v>1.8415135695579758</v>
      </c>
    </row>
    <row r="58" spans="2:5" x14ac:dyDescent="0.25">
      <c r="B58" s="97">
        <v>50</v>
      </c>
      <c r="C58" s="80">
        <v>162.15</v>
      </c>
      <c r="D58" s="80">
        <v>73.667619912929737</v>
      </c>
      <c r="E58" s="114">
        <f t="shared" si="0"/>
        <v>1.8415937037793497</v>
      </c>
    </row>
    <row r="59" spans="2:5" x14ac:dyDescent="0.25">
      <c r="B59" s="122">
        <v>51</v>
      </c>
      <c r="C59" s="12">
        <v>162.15</v>
      </c>
      <c r="D59" s="12">
        <v>73.649818835280385</v>
      </c>
      <c r="E59" s="113">
        <f t="shared" si="0"/>
        <v>1.8413645135192667</v>
      </c>
    </row>
    <row r="60" spans="2:5" x14ac:dyDescent="0.25">
      <c r="B60" s="122">
        <v>52</v>
      </c>
      <c r="C60" s="12">
        <v>162.15</v>
      </c>
      <c r="D60" s="12">
        <v>73.608054737072848</v>
      </c>
      <c r="E60" s="113">
        <f t="shared" si="0"/>
        <v>1.8408266920219878</v>
      </c>
    </row>
    <row r="61" spans="2:5" x14ac:dyDescent="0.25">
      <c r="B61" s="122">
        <v>53</v>
      </c>
      <c r="C61" s="12">
        <v>162.15</v>
      </c>
      <c r="D61" s="12">
        <v>73.542389892193299</v>
      </c>
      <c r="E61" s="113">
        <f t="shared" si="0"/>
        <v>1.8399807868177513</v>
      </c>
    </row>
    <row r="62" spans="2:5" x14ac:dyDescent="0.25">
      <c r="B62" s="122">
        <v>54</v>
      </c>
      <c r="C62" s="12">
        <v>162.15</v>
      </c>
      <c r="D62" s="12">
        <v>73.452886574527895</v>
      </c>
      <c r="E62" s="113">
        <f t="shared" si="0"/>
        <v>1.8388272003745252</v>
      </c>
    </row>
    <row r="63" spans="2:5" x14ac:dyDescent="0.25">
      <c r="B63" s="122">
        <v>55</v>
      </c>
      <c r="C63" s="12">
        <v>162.15</v>
      </c>
      <c r="D63" s="12">
        <v>73.339607057962809</v>
      </c>
      <c r="E63" s="113">
        <f t="shared" si="0"/>
        <v>1.8373661903992933</v>
      </c>
    </row>
    <row r="64" spans="2:5" x14ac:dyDescent="0.25">
      <c r="B64" s="122">
        <v>56</v>
      </c>
      <c r="C64" s="12">
        <v>162.15</v>
      </c>
      <c r="D64" s="12">
        <v>73.202613616384227</v>
      </c>
      <c r="E64" s="113">
        <f t="shared" si="0"/>
        <v>1.8355978697898137</v>
      </c>
    </row>
    <row r="65" spans="2:5" x14ac:dyDescent="0.25">
      <c r="B65" s="122">
        <v>57</v>
      </c>
      <c r="C65" s="12">
        <v>162.15</v>
      </c>
      <c r="D65" s="12">
        <v>73.041968523678321</v>
      </c>
      <c r="E65" s="113">
        <f t="shared" si="0"/>
        <v>1.8335222062358454</v>
      </c>
    </row>
    <row r="66" spans="2:5" x14ac:dyDescent="0.25">
      <c r="B66" s="97">
        <v>58</v>
      </c>
      <c r="C66" s="80">
        <v>162.15</v>
      </c>
      <c r="D66" s="80">
        <v>72.857734053731278</v>
      </c>
      <c r="E66" s="114">
        <f t="shared" si="0"/>
        <v>1.8311390214668306</v>
      </c>
    </row>
    <row r="67" spans="2:5" x14ac:dyDescent="0.25">
      <c r="B67" s="122">
        <v>59</v>
      </c>
      <c r="C67" s="12">
        <v>162.15</v>
      </c>
      <c r="D67" s="12">
        <v>72.64997248042927</v>
      </c>
      <c r="E67" s="113">
        <f t="shared" si="0"/>
        <v>1.8284479901409971</v>
      </c>
    </row>
    <row r="68" spans="2:5" x14ac:dyDescent="0.25">
      <c r="B68" s="97">
        <v>60</v>
      </c>
      <c r="C68" s="80">
        <v>162.15</v>
      </c>
      <c r="D68" s="80">
        <v>72.418746077658469</v>
      </c>
      <c r="E68" s="114">
        <f t="shared" si="0"/>
        <v>1.8254486383687709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F67"/>
  <sheetViews>
    <sheetView zoomScale="90" zoomScaleNormal="90" workbookViewId="0">
      <selection activeCell="E6" sqref="E6"/>
    </sheetView>
  </sheetViews>
  <sheetFormatPr defaultRowHeight="15.75" x14ac:dyDescent="0.25"/>
  <cols>
    <col min="1" max="1" width="9.140625" style="3"/>
    <col min="2" max="2" width="19" style="3" customWidth="1"/>
    <col min="3" max="3" width="21.42578125" style="3" customWidth="1"/>
    <col min="4" max="4" width="22.140625" style="3" customWidth="1"/>
    <col min="5" max="5" width="18.85546875" style="3" customWidth="1"/>
    <col min="6" max="6" width="16.28515625" style="3" customWidth="1"/>
    <col min="7" max="16384" width="9.140625" style="3"/>
  </cols>
  <sheetData>
    <row r="1" spans="2:6" ht="54" customHeight="1" thickBot="1" x14ac:dyDescent="0.3">
      <c r="B1" s="62" t="s">
        <v>149</v>
      </c>
      <c r="C1" s="63" t="s">
        <v>32</v>
      </c>
      <c r="D1" s="64" t="s">
        <v>31</v>
      </c>
    </row>
    <row r="3" spans="2:6" ht="31.5" x14ac:dyDescent="0.25">
      <c r="B3" s="5" t="s">
        <v>15</v>
      </c>
      <c r="C3" s="5" t="s">
        <v>1</v>
      </c>
      <c r="D3" s="5" t="s">
        <v>10</v>
      </c>
      <c r="E3" s="22" t="s">
        <v>114</v>
      </c>
      <c r="F3" s="29" t="s">
        <v>239</v>
      </c>
    </row>
    <row r="4" spans="2:6" x14ac:dyDescent="0.25">
      <c r="B4" s="97">
        <v>0.5</v>
      </c>
      <c r="C4" s="80">
        <v>6.9154266082630542</v>
      </c>
      <c r="D4" s="80">
        <v>63.847397180814866</v>
      </c>
      <c r="E4" s="114">
        <f>C4 / ((D4 / 100)^2)</f>
        <v>16.964168667695088</v>
      </c>
      <c r="F4" s="4"/>
    </row>
    <row r="5" spans="2:6" ht="16.5" customHeight="1" x14ac:dyDescent="0.25">
      <c r="B5" s="97">
        <v>1</v>
      </c>
      <c r="C5" s="80">
        <v>9.3633691865002202</v>
      </c>
      <c r="D5" s="80">
        <v>73.134202609885094</v>
      </c>
      <c r="E5" s="114">
        <f>C5 / ((D5 / 100)^2)</f>
        <v>17.506167771808332</v>
      </c>
      <c r="F5" s="4"/>
    </row>
    <row r="6" spans="2:6" ht="16.5" customHeight="1" x14ac:dyDescent="0.25">
      <c r="B6" s="97">
        <v>1.5</v>
      </c>
      <c r="C6" s="80">
        <v>11.3</v>
      </c>
      <c r="D6" s="80">
        <v>80.22</v>
      </c>
      <c r="E6" s="114">
        <f>C6 / ((D6 / 100)^2)</f>
        <v>17.559539737424899</v>
      </c>
      <c r="F6" s="4"/>
    </row>
    <row r="7" spans="2:6" x14ac:dyDescent="0.25">
      <c r="B7" s="97">
        <v>2</v>
      </c>
      <c r="C7" s="80">
        <v>12.915540493605725</v>
      </c>
      <c r="D7" s="80">
        <v>85.893161073396499</v>
      </c>
      <c r="E7" s="114">
        <f t="shared" ref="E7:E67" si="0">C7 / ((D7 / 100)^2)</f>
        <v>17.506342188200389</v>
      </c>
      <c r="F7" s="4">
        <v>16.515000000000001</v>
      </c>
    </row>
    <row r="8" spans="2:6" x14ac:dyDescent="0.25">
      <c r="B8" s="97">
        <v>3</v>
      </c>
      <c r="C8" s="80">
        <v>15.501380986241351</v>
      </c>
      <c r="D8" s="80">
        <v>94.542247808106112</v>
      </c>
      <c r="E8" s="114">
        <f t="shared" si="0"/>
        <v>17.342773126523671</v>
      </c>
      <c r="F8" s="4">
        <v>15.93</v>
      </c>
    </row>
    <row r="9" spans="2:6" x14ac:dyDescent="0.25">
      <c r="B9" s="122">
        <v>4</v>
      </c>
      <c r="C9" s="12">
        <v>17.658377373442054</v>
      </c>
      <c r="D9" s="12">
        <v>102.79377912809166</v>
      </c>
      <c r="E9" s="113">
        <f t="shared" si="0"/>
        <v>16.711565217476199</v>
      </c>
      <c r="F9" s="4">
        <v>15.89</v>
      </c>
    </row>
    <row r="10" spans="2:6" x14ac:dyDescent="0.25">
      <c r="B10" s="97">
        <v>4.5</v>
      </c>
      <c r="C10" s="80">
        <v>18.68</v>
      </c>
      <c r="D10" s="80">
        <v>106.68</v>
      </c>
      <c r="E10" s="114">
        <f t="shared" si="0"/>
        <v>16.41386502727654</v>
      </c>
      <c r="F10" s="4"/>
    </row>
    <row r="11" spans="2:6" x14ac:dyDescent="0.25">
      <c r="B11" s="97">
        <v>5</v>
      </c>
      <c r="C11" s="80">
        <v>19.714719894457716</v>
      </c>
      <c r="D11" s="80">
        <v>110.31860080082637</v>
      </c>
      <c r="E11" s="114">
        <f t="shared" si="0"/>
        <v>16.199183356103784</v>
      </c>
      <c r="F11" s="4">
        <v>15.86</v>
      </c>
    </row>
    <row r="12" spans="2:6" x14ac:dyDescent="0.25">
      <c r="B12" s="97">
        <v>6</v>
      </c>
      <c r="C12" s="80">
        <v>21.923103271580395</v>
      </c>
      <c r="D12" s="80">
        <v>116.94293516675691</v>
      </c>
      <c r="E12" s="114">
        <f t="shared" si="0"/>
        <v>16.030757685851551</v>
      </c>
      <c r="F12" s="4">
        <v>16.094999999999999</v>
      </c>
    </row>
    <row r="13" spans="2:6" x14ac:dyDescent="0.25">
      <c r="B13" s="122">
        <v>7</v>
      </c>
      <c r="C13" s="12">
        <v>24.506577270969409</v>
      </c>
      <c r="D13" s="12">
        <v>122.86468769382844</v>
      </c>
      <c r="E13" s="113">
        <f t="shared" si="0"/>
        <v>16.234110483500071</v>
      </c>
      <c r="F13" s="4">
        <v>16.68</v>
      </c>
    </row>
    <row r="14" spans="2:6" x14ac:dyDescent="0.25">
      <c r="B14" s="122">
        <v>8</v>
      </c>
      <c r="C14" s="12">
        <v>27.656408486783047</v>
      </c>
      <c r="D14" s="12">
        <v>128.39169770546997</v>
      </c>
      <c r="E14" s="113">
        <f t="shared" si="0"/>
        <v>16.777293346295849</v>
      </c>
      <c r="F14" s="4">
        <v>17.094999999999999</v>
      </c>
    </row>
    <row r="15" spans="2:6" x14ac:dyDescent="0.25">
      <c r="B15" s="122">
        <v>9</v>
      </c>
      <c r="C15" s="12">
        <v>31.490091534874679</v>
      </c>
      <c r="D15" s="12">
        <v>134.09393224350492</v>
      </c>
      <c r="E15" s="113">
        <f t="shared" si="0"/>
        <v>17.512803313544076</v>
      </c>
      <c r="F15" s="4">
        <v>18.79</v>
      </c>
    </row>
    <row r="16" spans="2:6" x14ac:dyDescent="0.25">
      <c r="B16" s="122">
        <v>10</v>
      </c>
      <c r="C16" s="12">
        <v>35.983608273747407</v>
      </c>
      <c r="D16" s="12">
        <v>140.86757931933013</v>
      </c>
      <c r="E16" s="113">
        <f t="shared" si="0"/>
        <v>18.133540510576253</v>
      </c>
      <c r="F16" s="4">
        <v>19.945</v>
      </c>
    </row>
    <row r="17" spans="2:6" x14ac:dyDescent="0.25">
      <c r="B17" s="97">
        <v>10.3</v>
      </c>
      <c r="C17" s="80">
        <v>37.43</v>
      </c>
      <c r="D17" s="80">
        <v>143.19999999999999</v>
      </c>
      <c r="E17" s="114">
        <f t="shared" si="0"/>
        <v>18.252980556162417</v>
      </c>
      <c r="F17" s="4"/>
    </row>
    <row r="18" spans="2:6" x14ac:dyDescent="0.25">
      <c r="B18" s="122">
        <v>11</v>
      </c>
      <c r="C18" s="12">
        <v>40.920969268335227</v>
      </c>
      <c r="D18" s="12">
        <v>148.96245456446943</v>
      </c>
      <c r="E18" s="113">
        <f t="shared" si="0"/>
        <v>18.441331393062796</v>
      </c>
      <c r="F18" s="4">
        <v>21.54</v>
      </c>
    </row>
    <row r="19" spans="2:6" x14ac:dyDescent="0.25">
      <c r="B19" s="97">
        <v>12</v>
      </c>
      <c r="C19" s="80">
        <v>45.921623136976415</v>
      </c>
      <c r="D19" s="80">
        <v>156.10069388016007</v>
      </c>
      <c r="E19" s="114">
        <f t="shared" si="0"/>
        <v>18.845495601365531</v>
      </c>
      <c r="F19" s="4">
        <v>19.905000000000001</v>
      </c>
    </row>
    <row r="20" spans="2:6" x14ac:dyDescent="0.25">
      <c r="B20" s="97">
        <v>13</v>
      </c>
      <c r="C20" s="80">
        <v>50.562975543985615</v>
      </c>
      <c r="D20" s="80">
        <v>160.01687553922528</v>
      </c>
      <c r="E20" s="114">
        <f t="shared" si="0"/>
        <v>19.746996587002954</v>
      </c>
      <c r="F20" s="4">
        <v>21.91</v>
      </c>
    </row>
    <row r="21" spans="2:6" x14ac:dyDescent="0.25">
      <c r="B21" s="122">
        <v>14</v>
      </c>
      <c r="C21" s="12">
        <v>54.528714320701638</v>
      </c>
      <c r="D21" s="12">
        <v>161.49732203973653</v>
      </c>
      <c r="E21" s="113">
        <f t="shared" si="0"/>
        <v>20.907139044314466</v>
      </c>
      <c r="F21" s="4">
        <v>21.745000000000001</v>
      </c>
    </row>
    <row r="22" spans="2:6" x14ac:dyDescent="0.25">
      <c r="B22" s="97">
        <v>15</v>
      </c>
      <c r="C22" s="80">
        <v>57.686469728875608</v>
      </c>
      <c r="D22" s="80">
        <v>161.96127689238583</v>
      </c>
      <c r="E22" s="114">
        <f t="shared" si="0"/>
        <v>21.99133416782001</v>
      </c>
      <c r="F22" s="4">
        <v>22.79</v>
      </c>
    </row>
    <row r="23" spans="2:6" x14ac:dyDescent="0.25">
      <c r="B23" s="122">
        <v>16</v>
      </c>
      <c r="C23" s="12">
        <v>60.067673083421695</v>
      </c>
      <c r="D23" s="12">
        <v>162.09649102155765</v>
      </c>
      <c r="E23" s="113">
        <f t="shared" si="0"/>
        <v>22.860913548507369</v>
      </c>
      <c r="F23" s="4">
        <v>22.25</v>
      </c>
    </row>
    <row r="24" spans="2:6" x14ac:dyDescent="0.25">
      <c r="B24" s="122">
        <v>17</v>
      </c>
      <c r="C24" s="12">
        <v>61.796641842834646</v>
      </c>
      <c r="D24" s="12">
        <v>162.1349264047526</v>
      </c>
      <c r="E24" s="113">
        <f t="shared" si="0"/>
        <v>23.507785416540269</v>
      </c>
      <c r="F24" s="4">
        <v>23.88</v>
      </c>
    </row>
    <row r="25" spans="2:6" x14ac:dyDescent="0.25">
      <c r="B25" s="122">
        <v>18</v>
      </c>
      <c r="C25" s="12">
        <v>63.023877266443805</v>
      </c>
      <c r="D25" s="12">
        <v>162.14576263580773</v>
      </c>
      <c r="E25" s="113">
        <f t="shared" si="0"/>
        <v>23.971428229509264</v>
      </c>
      <c r="F25" s="4">
        <v>24.21</v>
      </c>
    </row>
    <row r="26" spans="2:6" x14ac:dyDescent="0.25">
      <c r="B26" s="97">
        <v>19</v>
      </c>
      <c r="C26" s="80">
        <v>63.886643380924738</v>
      </c>
      <c r="D26" s="80">
        <v>162.1488096325391</v>
      </c>
      <c r="E26" s="114">
        <f t="shared" si="0"/>
        <v>24.298672144290222</v>
      </c>
      <c r="F26" s="4">
        <v>24.465</v>
      </c>
    </row>
    <row r="27" spans="2:6" x14ac:dyDescent="0.25">
      <c r="B27" s="97">
        <v>20</v>
      </c>
      <c r="C27" s="80">
        <v>64.494109471333417</v>
      </c>
      <c r="D27" s="80">
        <v>162.14966567271529</v>
      </c>
      <c r="E27" s="114">
        <f t="shared" si="0"/>
        <v>24.529457046427595</v>
      </c>
      <c r="F27" s="4">
        <v>26.22</v>
      </c>
    </row>
    <row r="28" spans="2:6" x14ac:dyDescent="0.25">
      <c r="B28" s="122">
        <v>21</v>
      </c>
      <c r="C28" s="12">
        <v>64.926599748981431</v>
      </c>
      <c r="D28" s="12">
        <v>162.14990610721546</v>
      </c>
      <c r="E28" s="113">
        <f t="shared" si="0"/>
        <v>24.693875607274784</v>
      </c>
      <c r="F28" s="4">
        <v>24.34</v>
      </c>
    </row>
    <row r="29" spans="2:6" x14ac:dyDescent="0.25">
      <c r="B29" s="122">
        <v>22</v>
      </c>
      <c r="C29" s="12">
        <v>65.325791591348548</v>
      </c>
      <c r="D29" s="12">
        <v>162.14997363165622</v>
      </c>
      <c r="E29" s="113">
        <f t="shared" si="0"/>
        <v>24.845681649869658</v>
      </c>
      <c r="F29" s="4">
        <v>24.65</v>
      </c>
    </row>
    <row r="30" spans="2:6" x14ac:dyDescent="0.25">
      <c r="B30" s="122">
        <v>23</v>
      </c>
      <c r="C30" s="12">
        <v>64.862678458374219</v>
      </c>
      <c r="D30" s="12">
        <v>162.14999259490992</v>
      </c>
      <c r="E30" s="113">
        <f t="shared" si="0"/>
        <v>24.669537769650528</v>
      </c>
      <c r="F30" s="4">
        <v>25.64</v>
      </c>
    </row>
    <row r="31" spans="2:6" x14ac:dyDescent="0.25">
      <c r="B31" s="122">
        <v>24</v>
      </c>
      <c r="C31" s="12">
        <v>65.515418464770889</v>
      </c>
      <c r="D31" s="12">
        <v>162.14999792041425</v>
      </c>
      <c r="E31" s="113">
        <f t="shared" si="0"/>
        <v>24.917795912237779</v>
      </c>
      <c r="F31" s="4">
        <v>25.734999999999999</v>
      </c>
    </row>
    <row r="32" spans="2:6" s="23" customFormat="1" x14ac:dyDescent="0.25">
      <c r="B32" s="97">
        <v>25</v>
      </c>
      <c r="C32" s="80">
        <v>66.142514055682611</v>
      </c>
      <c r="D32" s="80">
        <v>162.14999941598637</v>
      </c>
      <c r="E32" s="114">
        <f t="shared" si="0"/>
        <v>25.156301746671314</v>
      </c>
      <c r="F32" s="81">
        <v>23.81</v>
      </c>
    </row>
    <row r="33" spans="2:6" x14ac:dyDescent="0.25">
      <c r="B33" s="122">
        <v>26</v>
      </c>
      <c r="C33" s="12">
        <v>66.744027504995557</v>
      </c>
      <c r="D33" s="12">
        <v>162.14999983599049</v>
      </c>
      <c r="E33" s="113">
        <f t="shared" si="0"/>
        <v>25.385078129811678</v>
      </c>
      <c r="F33" s="4">
        <v>24.48</v>
      </c>
    </row>
    <row r="34" spans="2:6" x14ac:dyDescent="0.25">
      <c r="B34" s="122">
        <v>27</v>
      </c>
      <c r="C34" s="12">
        <v>67.320021086595901</v>
      </c>
      <c r="D34" s="12">
        <v>162.14999995394095</v>
      </c>
      <c r="E34" s="113">
        <f t="shared" si="0"/>
        <v>25.604148511560872</v>
      </c>
      <c r="F34" s="4">
        <v>26.614999999999998</v>
      </c>
    </row>
    <row r="35" spans="2:6" x14ac:dyDescent="0.25">
      <c r="B35" s="122">
        <v>28</v>
      </c>
      <c r="C35" s="12">
        <v>67.870557074369813</v>
      </c>
      <c r="D35" s="12">
        <v>162.14999998706517</v>
      </c>
      <c r="E35" s="113">
        <f t="shared" si="0"/>
        <v>25.813536510174288</v>
      </c>
      <c r="F35" s="4">
        <v>29.545000000000002</v>
      </c>
    </row>
    <row r="36" spans="2:6" x14ac:dyDescent="0.25">
      <c r="B36" s="122">
        <v>29</v>
      </c>
      <c r="C36" s="12">
        <v>68.395697742203453</v>
      </c>
      <c r="D36" s="12">
        <v>162.14999999636748</v>
      </c>
      <c r="E36" s="113">
        <f t="shared" si="0"/>
        <v>26.013265791675167</v>
      </c>
      <c r="F36" s="4">
        <v>26.925000000000001</v>
      </c>
    </row>
    <row r="37" spans="2:6" x14ac:dyDescent="0.25">
      <c r="B37" s="122">
        <v>30</v>
      </c>
      <c r="C37" s="12">
        <v>68.895505363983034</v>
      </c>
      <c r="D37" s="12">
        <v>162.14999999897989</v>
      </c>
      <c r="E37" s="113">
        <f t="shared" si="0"/>
        <v>26.20336003563353</v>
      </c>
      <c r="F37" s="4">
        <v>27.445</v>
      </c>
    </row>
    <row r="38" spans="2:6" x14ac:dyDescent="0.25">
      <c r="B38" s="122">
        <v>31</v>
      </c>
      <c r="C38" s="12">
        <v>69.370042213594715</v>
      </c>
      <c r="D38" s="12">
        <v>162.14999999971351</v>
      </c>
      <c r="E38" s="113">
        <f t="shared" si="0"/>
        <v>26.383842925459351</v>
      </c>
      <c r="F38" s="4">
        <v>29.73</v>
      </c>
    </row>
    <row r="39" spans="2:6" x14ac:dyDescent="0.25">
      <c r="B39" s="122">
        <v>32</v>
      </c>
      <c r="C39" s="12">
        <v>69.819370564924668</v>
      </c>
      <c r="D39" s="12">
        <v>162.14999999991954</v>
      </c>
      <c r="E39" s="113">
        <f t="shared" si="0"/>
        <v>26.554738145650532</v>
      </c>
      <c r="F39" s="4">
        <v>27.39</v>
      </c>
    </row>
    <row r="40" spans="2:6" x14ac:dyDescent="0.25">
      <c r="B40" s="122">
        <v>33</v>
      </c>
      <c r="C40" s="12">
        <v>70.243552691859051</v>
      </c>
      <c r="D40" s="12">
        <v>162.14999999997741</v>
      </c>
      <c r="E40" s="113">
        <f t="shared" si="0"/>
        <v>26.716069381013106</v>
      </c>
      <c r="F40" s="4">
        <v>28.3</v>
      </c>
    </row>
    <row r="41" spans="2:6" x14ac:dyDescent="0.25">
      <c r="B41" s="122">
        <v>34</v>
      </c>
      <c r="C41" s="12">
        <v>70.642650868284093</v>
      </c>
      <c r="D41" s="12">
        <v>162.14999999999367</v>
      </c>
      <c r="E41" s="113">
        <f t="shared" si="0"/>
        <v>26.867860316440332</v>
      </c>
      <c r="F41" s="4">
        <v>25.02</v>
      </c>
    </row>
    <row r="42" spans="2:6" x14ac:dyDescent="0.25">
      <c r="B42" s="122">
        <v>35</v>
      </c>
      <c r="C42" s="12">
        <v>71.016727368085924</v>
      </c>
      <c r="D42" s="12">
        <v>162.14999999999822</v>
      </c>
      <c r="E42" s="113">
        <f t="shared" si="0"/>
        <v>27.010134636850122</v>
      </c>
      <c r="F42" s="4">
        <v>27.95</v>
      </c>
    </row>
    <row r="43" spans="2:6" x14ac:dyDescent="0.25">
      <c r="B43" s="122">
        <v>36</v>
      </c>
      <c r="C43" s="12">
        <v>71.365844465150758</v>
      </c>
      <c r="D43" s="12">
        <v>162.14999999999949</v>
      </c>
      <c r="E43" s="113">
        <f t="shared" si="0"/>
        <v>27.142916027167399</v>
      </c>
      <c r="F43" s="4">
        <v>28.045000000000002</v>
      </c>
    </row>
    <row r="44" spans="2:6" x14ac:dyDescent="0.25">
      <c r="B44" s="122">
        <v>37</v>
      </c>
      <c r="C44" s="12">
        <v>71.690064433364697</v>
      </c>
      <c r="D44" s="12">
        <v>162.14999999999986</v>
      </c>
      <c r="E44" s="113">
        <f t="shared" si="0"/>
        <v>27.266228172318989</v>
      </c>
      <c r="F44" s="4">
        <v>24.79</v>
      </c>
    </row>
    <row r="45" spans="2:6" x14ac:dyDescent="0.25">
      <c r="B45" s="122">
        <v>38</v>
      </c>
      <c r="C45" s="12">
        <v>71.989449546614026</v>
      </c>
      <c r="D45" s="12">
        <v>162.14999999999998</v>
      </c>
      <c r="E45" s="113">
        <f t="shared" si="0"/>
        <v>27.380094757232396</v>
      </c>
      <c r="F45" s="4">
        <v>28.39</v>
      </c>
    </row>
    <row r="46" spans="2:6" x14ac:dyDescent="0.25">
      <c r="B46" s="122">
        <v>39</v>
      </c>
      <c r="C46" s="12">
        <v>72.264062078784832</v>
      </c>
      <c r="D46" s="12">
        <v>162.15</v>
      </c>
      <c r="E46" s="113">
        <f t="shared" si="0"/>
        <v>27.484539466835162</v>
      </c>
      <c r="F46" s="4">
        <v>28.315000000000001</v>
      </c>
    </row>
    <row r="47" spans="2:6" x14ac:dyDescent="0.25">
      <c r="B47" s="122">
        <v>40</v>
      </c>
      <c r="C47" s="12">
        <v>72.513964303763331</v>
      </c>
      <c r="D47" s="12">
        <v>162.15</v>
      </c>
      <c r="E47" s="113">
        <f t="shared" si="0"/>
        <v>27.579585986054955</v>
      </c>
      <c r="F47" s="4">
        <v>29.56</v>
      </c>
    </row>
    <row r="48" spans="2:6" x14ac:dyDescent="0.25">
      <c r="B48" s="122">
        <v>41</v>
      </c>
      <c r="C48" s="12">
        <v>72.739218495435694</v>
      </c>
      <c r="D48" s="12">
        <v>162.15</v>
      </c>
      <c r="E48" s="113">
        <f t="shared" si="0"/>
        <v>27.66525799981941</v>
      </c>
      <c r="F48" s="4">
        <v>28.96</v>
      </c>
    </row>
    <row r="49" spans="2:6" x14ac:dyDescent="0.25">
      <c r="B49" s="122">
        <v>42</v>
      </c>
      <c r="C49" s="12">
        <v>72.939886927688079</v>
      </c>
      <c r="D49" s="12">
        <v>162.15</v>
      </c>
      <c r="E49" s="113">
        <f t="shared" si="0"/>
        <v>27.741579193056175</v>
      </c>
      <c r="F49" s="4">
        <v>28.03</v>
      </c>
    </row>
    <row r="50" spans="2:6" x14ac:dyDescent="0.25">
      <c r="B50" s="122">
        <v>43</v>
      </c>
      <c r="C50" s="12">
        <v>73.116031874406701</v>
      </c>
      <c r="D50" s="12">
        <v>162.15</v>
      </c>
      <c r="E50" s="113">
        <f t="shared" si="0"/>
        <v>27.808573250692923</v>
      </c>
      <c r="F50" s="4">
        <v>28.905000000000001</v>
      </c>
    </row>
    <row r="51" spans="2:6" x14ac:dyDescent="0.25">
      <c r="B51" s="122">
        <v>44</v>
      </c>
      <c r="C51" s="12">
        <v>73.26771560947769</v>
      </c>
      <c r="D51" s="12">
        <v>162.15</v>
      </c>
      <c r="E51" s="113">
        <f t="shared" si="0"/>
        <v>27.866263857657287</v>
      </c>
      <c r="F51" s="4">
        <v>28.734999999999999</v>
      </c>
    </row>
    <row r="52" spans="2:6" x14ac:dyDescent="0.25">
      <c r="B52" s="122">
        <v>45</v>
      </c>
      <c r="C52" s="12">
        <v>73.395000406787247</v>
      </c>
      <c r="D52" s="12">
        <v>162.15</v>
      </c>
      <c r="E52" s="113">
        <f t="shared" si="0"/>
        <v>27.914674698876933</v>
      </c>
      <c r="F52" s="4">
        <v>30.234999999999999</v>
      </c>
    </row>
    <row r="53" spans="2:6" x14ac:dyDescent="0.25">
      <c r="B53" s="122">
        <v>46</v>
      </c>
      <c r="C53" s="12">
        <v>73.497948540221557</v>
      </c>
      <c r="D53" s="12">
        <v>162.15</v>
      </c>
      <c r="E53" s="113">
        <f t="shared" si="0"/>
        <v>27.953829459279515</v>
      </c>
      <c r="F53" s="4">
        <v>29.565000000000001</v>
      </c>
    </row>
    <row r="54" spans="2:6" x14ac:dyDescent="0.25">
      <c r="B54" s="122">
        <v>47</v>
      </c>
      <c r="C54" s="12">
        <v>73.576622283666779</v>
      </c>
      <c r="D54" s="12">
        <v>162.15</v>
      </c>
      <c r="E54" s="113">
        <f t="shared" si="0"/>
        <v>27.983751823792687</v>
      </c>
      <c r="F54" s="4">
        <v>27.97</v>
      </c>
    </row>
    <row r="55" spans="2:6" x14ac:dyDescent="0.25">
      <c r="B55" s="122">
        <v>48</v>
      </c>
      <c r="C55" s="12">
        <v>73.6310839110091</v>
      </c>
      <c r="D55" s="12">
        <v>162.15</v>
      </c>
      <c r="E55" s="113">
        <f t="shared" si="0"/>
        <v>28.004465477344105</v>
      </c>
      <c r="F55" s="4">
        <v>29.96</v>
      </c>
    </row>
    <row r="56" spans="2:6" x14ac:dyDescent="0.25">
      <c r="B56" s="97">
        <v>49</v>
      </c>
      <c r="C56" s="80">
        <v>73.66139569613469</v>
      </c>
      <c r="D56" s="80">
        <v>162.15</v>
      </c>
      <c r="E56" s="114">
        <f t="shared" si="0"/>
        <v>28.01599410486142</v>
      </c>
      <c r="F56" s="4">
        <v>29.45</v>
      </c>
    </row>
    <row r="57" spans="2:6" x14ac:dyDescent="0.25">
      <c r="B57" s="97">
        <v>50</v>
      </c>
      <c r="C57" s="80">
        <v>73.667619912929737</v>
      </c>
      <c r="D57" s="80">
        <v>162.15</v>
      </c>
      <c r="E57" s="114">
        <f t="shared" si="0"/>
        <v>28.018361391272293</v>
      </c>
      <c r="F57" s="4">
        <v>31.145</v>
      </c>
    </row>
    <row r="58" spans="2:6" x14ac:dyDescent="0.25">
      <c r="B58" s="122">
        <v>51</v>
      </c>
      <c r="C58" s="12">
        <v>73.649818835280385</v>
      </c>
      <c r="D58" s="12">
        <v>162.15</v>
      </c>
      <c r="E58" s="113">
        <f t="shared" si="0"/>
        <v>28.011591021504369</v>
      </c>
      <c r="F58" s="4">
        <v>27.975000000000001</v>
      </c>
    </row>
    <row r="59" spans="2:6" x14ac:dyDescent="0.25">
      <c r="B59" s="122">
        <v>52</v>
      </c>
      <c r="C59" s="12">
        <v>73.608054737072848</v>
      </c>
      <c r="D59" s="12">
        <v>162.15</v>
      </c>
      <c r="E59" s="113">
        <f t="shared" si="0"/>
        <v>27.995706680485309</v>
      </c>
      <c r="F59" s="4">
        <v>29.155000000000001</v>
      </c>
    </row>
    <row r="60" spans="2:6" x14ac:dyDescent="0.25">
      <c r="B60" s="122">
        <v>53</v>
      </c>
      <c r="C60" s="12">
        <v>73.542389892193299</v>
      </c>
      <c r="D60" s="12">
        <v>162.15</v>
      </c>
      <c r="E60" s="113">
        <f t="shared" si="0"/>
        <v>27.970732053142772</v>
      </c>
      <c r="F60" s="4">
        <v>27.405000000000001</v>
      </c>
    </row>
    <row r="61" spans="2:6" x14ac:dyDescent="0.25">
      <c r="B61" s="122">
        <v>54</v>
      </c>
      <c r="C61" s="12">
        <v>73.452886574527895</v>
      </c>
      <c r="D61" s="12">
        <v>162.15</v>
      </c>
      <c r="E61" s="113">
        <f t="shared" si="0"/>
        <v>27.936690824404405</v>
      </c>
      <c r="F61" s="4">
        <v>28.4</v>
      </c>
    </row>
    <row r="62" spans="2:6" x14ac:dyDescent="0.25">
      <c r="B62" s="122">
        <v>55</v>
      </c>
      <c r="C62" s="12">
        <v>73.339607057962809</v>
      </c>
      <c r="D62" s="12">
        <v>162.15</v>
      </c>
      <c r="E62" s="113">
        <f t="shared" si="0"/>
        <v>27.893606679197863</v>
      </c>
      <c r="F62" s="4">
        <v>28.75</v>
      </c>
    </row>
    <row r="63" spans="2:6" x14ac:dyDescent="0.25">
      <c r="B63" s="122">
        <v>56</v>
      </c>
      <c r="C63" s="12">
        <v>73.202613616384227</v>
      </c>
      <c r="D63" s="12">
        <v>162.15</v>
      </c>
      <c r="E63" s="113">
        <f t="shared" si="0"/>
        <v>27.841503302450796</v>
      </c>
      <c r="F63" s="4">
        <v>29</v>
      </c>
    </row>
    <row r="64" spans="2:6" x14ac:dyDescent="0.25">
      <c r="B64" s="122">
        <v>57</v>
      </c>
      <c r="C64" s="12">
        <v>73.041968523678321</v>
      </c>
      <c r="D64" s="12">
        <v>162.15</v>
      </c>
      <c r="E64" s="113">
        <f t="shared" si="0"/>
        <v>27.780404379090868</v>
      </c>
      <c r="F64" s="4">
        <v>25.15</v>
      </c>
    </row>
    <row r="65" spans="2:6" x14ac:dyDescent="0.25">
      <c r="B65" s="97">
        <v>58</v>
      </c>
      <c r="C65" s="80">
        <v>72.857734053731278</v>
      </c>
      <c r="D65" s="80">
        <v>162.15</v>
      </c>
      <c r="E65" s="114">
        <f t="shared" si="0"/>
        <v>27.710333594045732</v>
      </c>
      <c r="F65" s="4">
        <v>29.67</v>
      </c>
    </row>
    <row r="66" spans="2:6" x14ac:dyDescent="0.25">
      <c r="B66" s="122">
        <v>59</v>
      </c>
      <c r="C66" s="12">
        <v>72.64997248042927</v>
      </c>
      <c r="D66" s="12">
        <v>162.15</v>
      </c>
      <c r="E66" s="113">
        <f t="shared" si="0"/>
        <v>27.63131463224304</v>
      </c>
      <c r="F66" s="4">
        <v>32.36</v>
      </c>
    </row>
    <row r="67" spans="2:6" x14ac:dyDescent="0.25">
      <c r="B67" s="97">
        <v>60</v>
      </c>
      <c r="C67" s="80">
        <v>72.418746077658469</v>
      </c>
      <c r="D67" s="80">
        <v>162.15</v>
      </c>
      <c r="E67" s="114">
        <f t="shared" si="0"/>
        <v>27.543371178610446</v>
      </c>
      <c r="F67" s="4">
        <v>29.36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2:D67"/>
  <sheetViews>
    <sheetView zoomScale="90" zoomScaleNormal="90" workbookViewId="0">
      <selection activeCell="K36" sqref="K36"/>
    </sheetView>
  </sheetViews>
  <sheetFormatPr defaultRowHeight="15" x14ac:dyDescent="0.25"/>
  <cols>
    <col min="2" max="2" width="19.42578125" customWidth="1"/>
    <col min="3" max="3" width="64" style="1" customWidth="1"/>
    <col min="4" max="4" width="23" style="1" customWidth="1"/>
  </cols>
  <sheetData>
    <row r="2" spans="2:4" ht="31.5" x14ac:dyDescent="0.25">
      <c r="B2" s="5"/>
      <c r="C2" s="128" t="s">
        <v>256</v>
      </c>
      <c r="D2" s="5" t="s">
        <v>118</v>
      </c>
    </row>
    <row r="3" spans="2:4" s="79" customFormat="1" ht="15.75" x14ac:dyDescent="0.25">
      <c r="B3" s="97">
        <v>0.5</v>
      </c>
      <c r="C3" s="130" t="s">
        <v>116</v>
      </c>
      <c r="D3" s="111">
        <f>0.359 * (1 + 0)</f>
        <v>0.35899999999999999</v>
      </c>
    </row>
    <row r="4" spans="2:4" s="79" customFormat="1" ht="15.75" x14ac:dyDescent="0.25">
      <c r="B4" s="97">
        <v>1</v>
      </c>
      <c r="C4" s="129"/>
      <c r="D4" s="111">
        <f>0.359 * (1+ 0)</f>
        <v>0.35899999999999999</v>
      </c>
    </row>
    <row r="5" spans="2:4" s="79" customFormat="1" ht="15.75" x14ac:dyDescent="0.25">
      <c r="B5" s="97">
        <v>1.5</v>
      </c>
      <c r="C5" s="129"/>
      <c r="D5" s="111">
        <f>0.359 * (1+ 0)</f>
        <v>0.35899999999999999</v>
      </c>
    </row>
    <row r="6" spans="2:4" s="79" customFormat="1" ht="47.25" x14ac:dyDescent="0.25">
      <c r="B6" s="97">
        <v>2</v>
      </c>
      <c r="C6" s="135" t="s">
        <v>115</v>
      </c>
      <c r="D6" s="111">
        <f>(((0.00000112815) * (B6^3)) - (0.000172362 * (B6^2)) + (0.00815264 * B6) + 0.327363) * (1 + 0)</f>
        <v>0.34298785720000002</v>
      </c>
    </row>
    <row r="7" spans="2:4" s="79" customFormat="1" ht="15.75" x14ac:dyDescent="0.25">
      <c r="B7" s="97">
        <v>3</v>
      </c>
      <c r="C7" s="20"/>
      <c r="D7" s="111">
        <f t="shared" ref="D7:D66" si="0">(((0.00000112815) * (B7^3)) - (0.000172362 * (B7^2)) + (0.00815264 * B7) + 0.327363) * (1 + 0)</f>
        <v>0.35030012205</v>
      </c>
    </row>
    <row r="8" spans="2:4" s="79" customFormat="1" ht="15.75" x14ac:dyDescent="0.25">
      <c r="B8" s="235">
        <v>4</v>
      </c>
      <c r="C8" s="236"/>
      <c r="D8" s="237">
        <f t="shared" si="0"/>
        <v>0.35728796960000003</v>
      </c>
    </row>
    <row r="9" spans="2:4" s="79" customFormat="1" ht="15.75" x14ac:dyDescent="0.25">
      <c r="B9" s="97">
        <v>4.5</v>
      </c>
      <c r="C9" s="20"/>
      <c r="D9" s="111">
        <f t="shared" si="0"/>
        <v>0.36066235216875003</v>
      </c>
    </row>
    <row r="10" spans="2:4" s="79" customFormat="1" ht="15.75" x14ac:dyDescent="0.25">
      <c r="B10" s="97">
        <v>5</v>
      </c>
      <c r="C10" s="20"/>
      <c r="D10" s="111">
        <f t="shared" si="0"/>
        <v>0.36395816875000003</v>
      </c>
    </row>
    <row r="11" spans="2:4" s="79" customFormat="1" ht="15.75" x14ac:dyDescent="0.25">
      <c r="B11" s="97">
        <v>6</v>
      </c>
      <c r="C11" s="20"/>
      <c r="D11" s="111">
        <f t="shared" si="0"/>
        <v>0.37031748840000001</v>
      </c>
    </row>
    <row r="12" spans="2:4" s="79" customFormat="1" ht="15.75" x14ac:dyDescent="0.25">
      <c r="B12" s="75">
        <v>7</v>
      </c>
      <c r="C12" s="29"/>
      <c r="D12" s="112">
        <f t="shared" si="0"/>
        <v>0.37637269745000002</v>
      </c>
    </row>
    <row r="13" spans="2:4" s="79" customFormat="1" ht="15.75" x14ac:dyDescent="0.25">
      <c r="B13" s="75">
        <v>8</v>
      </c>
      <c r="C13" s="29"/>
      <c r="D13" s="112">
        <f t="shared" si="0"/>
        <v>0.38213056480000002</v>
      </c>
    </row>
    <row r="14" spans="2:4" s="79" customFormat="1" ht="15.75" x14ac:dyDescent="0.25">
      <c r="B14" s="75">
        <v>9</v>
      </c>
      <c r="C14" s="29"/>
      <c r="D14" s="112">
        <f t="shared" si="0"/>
        <v>0.38759785935000002</v>
      </c>
    </row>
    <row r="15" spans="2:4" s="79" customFormat="1" ht="15.75" x14ac:dyDescent="0.25">
      <c r="B15" s="162">
        <v>10</v>
      </c>
      <c r="C15" s="29"/>
      <c r="D15" s="112">
        <f t="shared" si="0"/>
        <v>0.39278135000000003</v>
      </c>
    </row>
    <row r="16" spans="2:4" s="79" customFormat="1" ht="15.75" x14ac:dyDescent="0.25">
      <c r="B16" s="97">
        <v>10.3</v>
      </c>
      <c r="C16" s="20"/>
      <c r="D16" s="111">
        <f t="shared" si="0"/>
        <v>0.39428206738505001</v>
      </c>
    </row>
    <row r="17" spans="2:4" s="79" customFormat="1" ht="15.75" x14ac:dyDescent="0.25">
      <c r="B17" s="75">
        <v>11</v>
      </c>
      <c r="C17" s="29"/>
      <c r="D17" s="112">
        <f t="shared" si="0"/>
        <v>0.39768780565</v>
      </c>
    </row>
    <row r="18" spans="2:4" s="79" customFormat="1" ht="15.75" x14ac:dyDescent="0.25">
      <c r="B18" s="97">
        <v>12</v>
      </c>
      <c r="C18" s="20"/>
      <c r="D18" s="111">
        <f t="shared" si="0"/>
        <v>0.40232399520000001</v>
      </c>
    </row>
    <row r="19" spans="2:4" s="79" customFormat="1" ht="15.75" x14ac:dyDescent="0.25">
      <c r="B19" s="97">
        <v>13</v>
      </c>
      <c r="C19" s="20"/>
      <c r="D19" s="111">
        <f t="shared" si="0"/>
        <v>0.40669668754999999</v>
      </c>
    </row>
    <row r="20" spans="2:4" s="79" customFormat="1" ht="15.75" x14ac:dyDescent="0.25">
      <c r="B20" s="75">
        <v>14</v>
      </c>
      <c r="C20" s="29"/>
      <c r="D20" s="112">
        <f t="shared" si="0"/>
        <v>0.41081265160000002</v>
      </c>
    </row>
    <row r="21" spans="2:4" s="79" customFormat="1" ht="15.75" x14ac:dyDescent="0.25">
      <c r="B21" s="97">
        <v>15</v>
      </c>
      <c r="C21" s="20"/>
      <c r="D21" s="111">
        <f t="shared" si="0"/>
        <v>0.41467865625</v>
      </c>
    </row>
    <row r="22" spans="2:4" s="79" customFormat="1" ht="15.75" x14ac:dyDescent="0.25">
      <c r="B22" s="75">
        <v>16</v>
      </c>
      <c r="C22" s="29"/>
      <c r="D22" s="112">
        <f t="shared" si="0"/>
        <v>0.41830147039999999</v>
      </c>
    </row>
    <row r="23" spans="2:4" s="79" customFormat="1" ht="15.75" x14ac:dyDescent="0.25">
      <c r="B23" s="75">
        <v>17</v>
      </c>
      <c r="C23" s="29"/>
      <c r="D23" s="112">
        <f t="shared" si="0"/>
        <v>0.42168786294999999</v>
      </c>
    </row>
    <row r="24" spans="2:4" s="79" customFormat="1" ht="15.75" x14ac:dyDescent="0.25">
      <c r="B24" s="75">
        <v>18</v>
      </c>
      <c r="C24" s="29"/>
      <c r="D24" s="112">
        <f t="shared" si="0"/>
        <v>0.42484460280000003</v>
      </c>
    </row>
    <row r="25" spans="2:4" s="79" customFormat="1" ht="15.75" x14ac:dyDescent="0.25">
      <c r="B25" s="97">
        <v>19</v>
      </c>
      <c r="C25" s="20"/>
      <c r="D25" s="111">
        <f t="shared" si="0"/>
        <v>0.42777845884999999</v>
      </c>
    </row>
    <row r="26" spans="2:4" s="79" customFormat="1" ht="15.75" x14ac:dyDescent="0.25">
      <c r="B26" s="97">
        <v>20</v>
      </c>
      <c r="C26" s="20"/>
      <c r="D26" s="111">
        <f t="shared" si="0"/>
        <v>0.4304962</v>
      </c>
    </row>
    <row r="27" spans="2:4" s="79" customFormat="1" ht="15.75" x14ac:dyDescent="0.25">
      <c r="B27" s="75">
        <v>21</v>
      </c>
      <c r="C27" s="29"/>
      <c r="D27" s="112">
        <f t="shared" si="0"/>
        <v>0.43300459515</v>
      </c>
    </row>
    <row r="28" spans="2:4" s="79" customFormat="1" ht="15.75" x14ac:dyDescent="0.25">
      <c r="B28" s="75">
        <v>22</v>
      </c>
      <c r="C28" s="29"/>
      <c r="D28" s="112">
        <f t="shared" si="0"/>
        <v>0.43531041319999997</v>
      </c>
    </row>
    <row r="29" spans="2:4" s="79" customFormat="1" ht="15.75" x14ac:dyDescent="0.25">
      <c r="B29" s="75">
        <v>23</v>
      </c>
      <c r="C29" s="29"/>
      <c r="D29" s="112">
        <f t="shared" si="0"/>
        <v>0.43742042305000001</v>
      </c>
    </row>
    <row r="30" spans="2:4" s="79" customFormat="1" ht="15.75" x14ac:dyDescent="0.25">
      <c r="B30" s="75">
        <v>24</v>
      </c>
      <c r="C30" s="29"/>
      <c r="D30" s="112">
        <f t="shared" si="0"/>
        <v>0.43934139360000002</v>
      </c>
    </row>
    <row r="31" spans="2:4" s="79" customFormat="1" ht="15.75" x14ac:dyDescent="0.25">
      <c r="B31" s="97">
        <v>25</v>
      </c>
      <c r="C31" s="20"/>
      <c r="D31" s="111">
        <f t="shared" si="0"/>
        <v>0.44108009375000001</v>
      </c>
    </row>
    <row r="32" spans="2:4" ht="15.75" x14ac:dyDescent="0.25">
      <c r="B32" s="75">
        <v>26</v>
      </c>
      <c r="C32" s="5"/>
      <c r="D32" s="112">
        <f t="shared" si="0"/>
        <v>0.4426432924</v>
      </c>
    </row>
    <row r="33" spans="2:4" ht="15.75" x14ac:dyDescent="0.25">
      <c r="B33" s="75">
        <v>27</v>
      </c>
      <c r="C33" s="5"/>
      <c r="D33" s="112">
        <f t="shared" si="0"/>
        <v>0.44403775844999999</v>
      </c>
    </row>
    <row r="34" spans="2:4" ht="15.75" x14ac:dyDescent="0.25">
      <c r="B34" s="75">
        <v>28</v>
      </c>
      <c r="C34" s="5"/>
      <c r="D34" s="112">
        <f t="shared" si="0"/>
        <v>0.44527026079999998</v>
      </c>
    </row>
    <row r="35" spans="2:4" ht="15.75" x14ac:dyDescent="0.25">
      <c r="B35" s="75">
        <v>29</v>
      </c>
      <c r="C35" s="5"/>
      <c r="D35" s="112">
        <f t="shared" si="0"/>
        <v>0.44634756835</v>
      </c>
    </row>
    <row r="36" spans="2:4" ht="15.75" x14ac:dyDescent="0.25">
      <c r="B36" s="75">
        <v>30</v>
      </c>
      <c r="C36" s="5"/>
      <c r="D36" s="112">
        <f t="shared" si="0"/>
        <v>0.44727644999999999</v>
      </c>
    </row>
    <row r="37" spans="2:4" ht="15.75" x14ac:dyDescent="0.25">
      <c r="B37" s="75">
        <v>31</v>
      </c>
      <c r="C37" s="5"/>
      <c r="D37" s="112">
        <f t="shared" si="0"/>
        <v>0.44806367465000002</v>
      </c>
    </row>
    <row r="38" spans="2:4" ht="15.75" x14ac:dyDescent="0.25">
      <c r="B38" s="75">
        <v>32</v>
      </c>
      <c r="C38" s="5"/>
      <c r="D38" s="112">
        <f t="shared" si="0"/>
        <v>0.44871601119999999</v>
      </c>
    </row>
    <row r="39" spans="2:4" ht="15.75" x14ac:dyDescent="0.25">
      <c r="B39" s="75">
        <v>33</v>
      </c>
      <c r="C39" s="5"/>
      <c r="D39" s="112">
        <f t="shared" si="0"/>
        <v>0.44924022855000001</v>
      </c>
    </row>
    <row r="40" spans="2:4" ht="15.75" x14ac:dyDescent="0.25">
      <c r="B40" s="75">
        <v>34</v>
      </c>
      <c r="C40" s="5"/>
      <c r="D40" s="112">
        <f t="shared" si="0"/>
        <v>0.44964309559999999</v>
      </c>
    </row>
    <row r="41" spans="2:4" ht="15.75" x14ac:dyDescent="0.25">
      <c r="B41" s="75">
        <v>35</v>
      </c>
      <c r="C41" s="5"/>
      <c r="D41" s="112">
        <f t="shared" si="0"/>
        <v>0.44993138125000004</v>
      </c>
    </row>
    <row r="42" spans="2:4" ht="15.75" x14ac:dyDescent="0.25">
      <c r="B42" s="75">
        <v>36</v>
      </c>
      <c r="C42" s="5"/>
      <c r="D42" s="112">
        <f t="shared" si="0"/>
        <v>0.45011185440000001</v>
      </c>
    </row>
    <row r="43" spans="2:4" ht="15.75" x14ac:dyDescent="0.25">
      <c r="B43" s="75">
        <v>37</v>
      </c>
      <c r="C43" s="5"/>
      <c r="D43" s="112">
        <f t="shared" si="0"/>
        <v>0.45019128395000002</v>
      </c>
    </row>
    <row r="44" spans="2:4" ht="15.75" x14ac:dyDescent="0.25">
      <c r="B44" s="75">
        <v>38</v>
      </c>
      <c r="C44" s="5"/>
      <c r="D44" s="112">
        <f t="shared" si="0"/>
        <v>0.45017643880000002</v>
      </c>
    </row>
    <row r="45" spans="2:4" ht="15.75" x14ac:dyDescent="0.25">
      <c r="B45" s="75">
        <v>39</v>
      </c>
      <c r="C45" s="5"/>
      <c r="D45" s="112">
        <f t="shared" si="0"/>
        <v>0.45007408785000003</v>
      </c>
    </row>
    <row r="46" spans="2:4" ht="15.75" x14ac:dyDescent="0.25">
      <c r="B46" s="75">
        <v>40</v>
      </c>
      <c r="C46" s="5"/>
      <c r="D46" s="112">
        <f t="shared" si="0"/>
        <v>0.44989099999999999</v>
      </c>
    </row>
    <row r="47" spans="2:4" ht="15.75" x14ac:dyDescent="0.25">
      <c r="B47" s="75">
        <v>41</v>
      </c>
      <c r="C47" s="5"/>
      <c r="D47" s="112">
        <f t="shared" si="0"/>
        <v>0.44963394415000002</v>
      </c>
    </row>
    <row r="48" spans="2:4" ht="15.75" x14ac:dyDescent="0.25">
      <c r="B48" s="75">
        <v>42</v>
      </c>
      <c r="C48" s="5"/>
      <c r="D48" s="112">
        <f t="shared" si="0"/>
        <v>0.44930968920000003</v>
      </c>
    </row>
    <row r="49" spans="2:4" ht="15.75" x14ac:dyDescent="0.25">
      <c r="B49" s="75">
        <v>43</v>
      </c>
      <c r="C49" s="5"/>
      <c r="D49" s="112">
        <f t="shared" si="0"/>
        <v>0.44892500404999996</v>
      </c>
    </row>
    <row r="50" spans="2:4" ht="15.75" x14ac:dyDescent="0.25">
      <c r="B50" s="75">
        <v>44</v>
      </c>
      <c r="C50" s="5"/>
      <c r="D50" s="112">
        <f t="shared" si="0"/>
        <v>0.44848665759999995</v>
      </c>
    </row>
    <row r="51" spans="2:4" ht="15.75" x14ac:dyDescent="0.25">
      <c r="B51" s="75">
        <v>45</v>
      </c>
      <c r="C51" s="5"/>
      <c r="D51" s="112">
        <f t="shared" si="0"/>
        <v>0.44800141874999999</v>
      </c>
    </row>
    <row r="52" spans="2:4" ht="15.75" x14ac:dyDescent="0.25">
      <c r="B52" s="75">
        <v>46</v>
      </c>
      <c r="C52" s="5"/>
      <c r="D52" s="112">
        <f t="shared" si="0"/>
        <v>0.44747605639999999</v>
      </c>
    </row>
    <row r="53" spans="2:4" ht="15.75" x14ac:dyDescent="0.25">
      <c r="B53" s="75">
        <v>47</v>
      </c>
      <c r="C53" s="5"/>
      <c r="D53" s="112">
        <f t="shared" si="0"/>
        <v>0.44691733945000001</v>
      </c>
    </row>
    <row r="54" spans="2:4" ht="15.75" x14ac:dyDescent="0.25">
      <c r="B54" s="75">
        <v>48</v>
      </c>
      <c r="C54" s="5"/>
      <c r="D54" s="112">
        <f t="shared" si="0"/>
        <v>0.4463320368</v>
      </c>
    </row>
    <row r="55" spans="2:4" ht="15.75" x14ac:dyDescent="0.25">
      <c r="B55" s="97">
        <v>49</v>
      </c>
      <c r="C55" s="20"/>
      <c r="D55" s="111">
        <f t="shared" si="0"/>
        <v>0.44572691734999997</v>
      </c>
    </row>
    <row r="56" spans="2:4" ht="15.75" x14ac:dyDescent="0.25">
      <c r="B56" s="97">
        <v>50</v>
      </c>
      <c r="C56" s="20"/>
      <c r="D56" s="111">
        <f t="shared" si="0"/>
        <v>0.44510874999999994</v>
      </c>
    </row>
    <row r="57" spans="2:4" ht="15.75" x14ac:dyDescent="0.25">
      <c r="B57" s="75">
        <v>51</v>
      </c>
      <c r="C57" s="5"/>
      <c r="D57" s="112">
        <f t="shared" si="0"/>
        <v>0.44448430365000002</v>
      </c>
    </row>
    <row r="58" spans="2:4" ht="15.75" x14ac:dyDescent="0.25">
      <c r="B58" s="75">
        <v>52</v>
      </c>
      <c r="C58" s="5"/>
      <c r="D58" s="112">
        <f t="shared" si="0"/>
        <v>0.4438603472</v>
      </c>
    </row>
    <row r="59" spans="2:4" ht="15.75" x14ac:dyDescent="0.25">
      <c r="B59" s="75">
        <v>53</v>
      </c>
      <c r="C59" s="5"/>
      <c r="D59" s="112">
        <f t="shared" si="0"/>
        <v>0.44324364954999995</v>
      </c>
    </row>
    <row r="60" spans="2:4" ht="15.75" x14ac:dyDescent="0.25">
      <c r="B60" s="75">
        <v>54</v>
      </c>
      <c r="C60" s="5"/>
      <c r="D60" s="112">
        <f t="shared" si="0"/>
        <v>0.44264097959999998</v>
      </c>
    </row>
    <row r="61" spans="2:4" ht="15.75" x14ac:dyDescent="0.25">
      <c r="B61" s="75">
        <v>55</v>
      </c>
      <c r="C61" s="5"/>
      <c r="D61" s="112">
        <f t="shared" si="0"/>
        <v>0.44205910625</v>
      </c>
    </row>
    <row r="62" spans="2:4" ht="15.75" x14ac:dyDescent="0.25">
      <c r="B62" s="75">
        <v>56</v>
      </c>
      <c r="C62" s="5"/>
      <c r="D62" s="112">
        <f t="shared" si="0"/>
        <v>0.44150479839999995</v>
      </c>
    </row>
    <row r="63" spans="2:4" ht="15.75" x14ac:dyDescent="0.25">
      <c r="B63" s="75">
        <v>57</v>
      </c>
      <c r="C63" s="5"/>
      <c r="D63" s="112">
        <f t="shared" si="0"/>
        <v>0.44098482495000008</v>
      </c>
    </row>
    <row r="64" spans="2:4" ht="15.75" x14ac:dyDescent="0.25">
      <c r="B64" s="97">
        <v>58</v>
      </c>
      <c r="C64" s="20"/>
      <c r="D64" s="111">
        <f t="shared" si="0"/>
        <v>0.44050595479999999</v>
      </c>
    </row>
    <row r="65" spans="2:4" ht="15.75" x14ac:dyDescent="0.25">
      <c r="B65" s="75">
        <v>59</v>
      </c>
      <c r="C65" s="5"/>
      <c r="D65" s="112">
        <f t="shared" si="0"/>
        <v>0.44007495685000003</v>
      </c>
    </row>
    <row r="66" spans="2:4" s="19" customFormat="1" ht="15.75" x14ac:dyDescent="0.25">
      <c r="B66" s="97">
        <v>60</v>
      </c>
      <c r="C66" s="20"/>
      <c r="D66" s="111">
        <f t="shared" si="0"/>
        <v>0.43969860000000005</v>
      </c>
    </row>
    <row r="67" spans="2:4" ht="31.5" x14ac:dyDescent="0.25">
      <c r="B67" s="127">
        <v>70</v>
      </c>
      <c r="C67" s="9" t="s">
        <v>117</v>
      </c>
      <c r="D67" s="9">
        <f>(((0.00000112815) * (B67^3)) - (0.000172362 * (B67^2)) + (0.00815264 * B67) + 0.327363) * (1 + 0)</f>
        <v>0.44042945000000006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B3DB7"/>
  </sheetPr>
  <dimension ref="B3:AA82"/>
  <sheetViews>
    <sheetView topLeftCell="D16" zoomScale="95" zoomScaleNormal="95" workbookViewId="0">
      <selection activeCell="A30" sqref="A30:XFD30"/>
    </sheetView>
  </sheetViews>
  <sheetFormatPr defaultRowHeight="15.75" x14ac:dyDescent="0.25"/>
  <cols>
    <col min="1" max="1" width="9.140625" style="3"/>
    <col min="2" max="2" width="15.85546875" style="3" customWidth="1"/>
    <col min="3" max="3" width="24.85546875" style="3" bestFit="1" customWidth="1"/>
    <col min="4" max="4" width="11.28515625" style="3" bestFit="1" customWidth="1"/>
    <col min="5" max="5" width="18.5703125" style="3" customWidth="1"/>
    <col min="6" max="6" width="28.5703125" style="3" bestFit="1" customWidth="1"/>
    <col min="7" max="7" width="18.5703125" style="3" customWidth="1"/>
    <col min="8" max="8" width="11.7109375" style="3" customWidth="1"/>
    <col min="9" max="9" width="9.140625" style="3"/>
    <col min="10" max="10" width="19.140625" style="3" customWidth="1"/>
    <col min="11" max="11" width="23.42578125" style="3" customWidth="1"/>
    <col min="12" max="12" width="13.140625" style="3" customWidth="1"/>
    <col min="13" max="13" width="12.7109375" style="3" customWidth="1"/>
    <col min="14" max="14" width="11.42578125" style="3" customWidth="1"/>
    <col min="15" max="15" width="21.85546875" style="3" customWidth="1"/>
    <col min="16" max="16" width="10.85546875" style="3" customWidth="1"/>
    <col min="17" max="17" width="9.140625" style="3"/>
    <col min="18" max="18" width="13.140625" style="3" customWidth="1"/>
    <col min="19" max="19" width="17.140625" style="3" customWidth="1"/>
    <col min="20" max="24" width="9.140625" style="3"/>
    <col min="25" max="25" width="12.28515625" style="3" customWidth="1"/>
    <col min="26" max="16384" width="9.140625" style="3"/>
  </cols>
  <sheetData>
    <row r="3" spans="3:19" x14ac:dyDescent="0.25">
      <c r="C3" s="202" t="s">
        <v>330</v>
      </c>
      <c r="D3" s="202" t="s">
        <v>331</v>
      </c>
      <c r="E3" s="202" t="s">
        <v>332</v>
      </c>
      <c r="F3" s="203" t="s">
        <v>333</v>
      </c>
    </row>
    <row r="4" spans="3:19" ht="47.25" x14ac:dyDescent="0.25">
      <c r="C4" s="4" t="s">
        <v>334</v>
      </c>
      <c r="D4" s="210" t="s">
        <v>335</v>
      </c>
      <c r="E4" s="4"/>
      <c r="F4" s="5" t="s">
        <v>230</v>
      </c>
    </row>
    <row r="5" spans="3:19" ht="78.75" x14ac:dyDescent="0.25">
      <c r="C5" s="323" t="s">
        <v>336</v>
      </c>
      <c r="D5" s="323" t="s">
        <v>335</v>
      </c>
      <c r="E5" s="4" t="s">
        <v>161</v>
      </c>
      <c r="F5" s="5" t="s">
        <v>340</v>
      </c>
    </row>
    <row r="6" spans="3:19" x14ac:dyDescent="0.25">
      <c r="C6" s="324"/>
      <c r="D6" s="324"/>
      <c r="E6" s="204" t="s">
        <v>163</v>
      </c>
      <c r="F6" s="204"/>
    </row>
    <row r="7" spans="3:19" ht="63" x14ac:dyDescent="0.25">
      <c r="C7" s="324"/>
      <c r="D7" s="324"/>
      <c r="E7" s="5" t="s">
        <v>164</v>
      </c>
      <c r="F7" s="5" t="s">
        <v>344</v>
      </c>
      <c r="G7" s="5" t="s">
        <v>345</v>
      </c>
    </row>
    <row r="8" spans="3:19" x14ac:dyDescent="0.25">
      <c r="C8" s="325"/>
      <c r="D8" s="325"/>
      <c r="E8" s="204" t="s">
        <v>165</v>
      </c>
      <c r="F8" s="204"/>
    </row>
    <row r="9" spans="3:19" ht="63" x14ac:dyDescent="0.25">
      <c r="C9" s="323" t="s">
        <v>337</v>
      </c>
      <c r="D9" s="323" t="s">
        <v>338</v>
      </c>
      <c r="E9" s="4" t="s">
        <v>161</v>
      </c>
      <c r="F9" s="5" t="s">
        <v>342</v>
      </c>
    </row>
    <row r="10" spans="3:19" x14ac:dyDescent="0.25">
      <c r="C10" s="324"/>
      <c r="D10" s="324"/>
      <c r="E10" s="204" t="s">
        <v>163</v>
      </c>
      <c r="F10" s="205"/>
    </row>
    <row r="11" spans="3:19" ht="63" x14ac:dyDescent="0.25">
      <c r="C11" s="324"/>
      <c r="D11" s="324"/>
      <c r="E11" s="5" t="s">
        <v>164</v>
      </c>
      <c r="F11" s="5" t="s">
        <v>343</v>
      </c>
    </row>
    <row r="12" spans="3:19" x14ac:dyDescent="0.25">
      <c r="C12" s="325"/>
      <c r="D12" s="325"/>
      <c r="E12" s="204" t="s">
        <v>165</v>
      </c>
      <c r="F12" s="205"/>
    </row>
    <row r="13" spans="3:19" x14ac:dyDescent="0.25">
      <c r="E13" s="2"/>
    </row>
    <row r="14" spans="3:19" x14ac:dyDescent="0.25">
      <c r="E14" s="2"/>
    </row>
    <row r="16" spans="3:19" ht="56.25" customHeight="1" x14ac:dyDescent="0.25">
      <c r="J16" s="322"/>
      <c r="K16" s="322"/>
      <c r="R16" s="322"/>
      <c r="S16" s="322"/>
    </row>
    <row r="17" spans="2:27" ht="77.25" customHeight="1" x14ac:dyDescent="0.25">
      <c r="B17" s="206" t="s">
        <v>162</v>
      </c>
      <c r="C17" s="207" t="s">
        <v>230</v>
      </c>
      <c r="D17" s="207" t="s">
        <v>339</v>
      </c>
      <c r="F17" s="154" t="s">
        <v>166</v>
      </c>
      <c r="G17" s="207" t="s">
        <v>340</v>
      </c>
      <c r="H17" s="207" t="s">
        <v>339</v>
      </c>
      <c r="J17" s="154" t="s">
        <v>167</v>
      </c>
      <c r="K17" s="207" t="s">
        <v>341</v>
      </c>
      <c r="L17" s="207" t="s">
        <v>339</v>
      </c>
      <c r="N17" s="154" t="s">
        <v>265</v>
      </c>
      <c r="O17" s="207" t="s">
        <v>342</v>
      </c>
      <c r="P17" s="207" t="s">
        <v>339</v>
      </c>
      <c r="R17" s="154" t="s">
        <v>266</v>
      </c>
      <c r="S17" s="207" t="s">
        <v>343</v>
      </c>
      <c r="T17" s="207" t="s">
        <v>339</v>
      </c>
    </row>
    <row r="18" spans="2:27" x14ac:dyDescent="0.25">
      <c r="B18" s="25">
        <v>0.25</v>
      </c>
      <c r="C18" s="25">
        <f>0.1274*EXP(LN(0.01345/0.1274)*EXP(-0.1609*B18))</f>
        <v>1.4696718870561946E-2</v>
      </c>
      <c r="D18" s="208">
        <v>1.4E-2</v>
      </c>
      <c r="F18" s="25">
        <v>0.25</v>
      </c>
      <c r="G18" s="25">
        <f>0.02712+(F18^0.9173)*(0.9599-0.02712)/(F18^0.9173+27.01^0.9173)</f>
        <v>3.966559704469344E-2</v>
      </c>
      <c r="H18" s="208">
        <v>3.9E-2</v>
      </c>
      <c r="J18" s="25">
        <v>0.25</v>
      </c>
      <c r="K18" s="25">
        <f>1.159*EXP(LN(0.07248/1.159)*EXP(-0.1362*J18))</f>
        <v>7.9527946435074437E-2</v>
      </c>
      <c r="L18" s="208">
        <v>6.6000000000000003E-2</v>
      </c>
      <c r="N18" s="25">
        <v>0.25</v>
      </c>
      <c r="O18" s="25">
        <f>0.3255*EXP(LN(0.08771/0.3255)*EXP(-0.3731*N18))*1000</f>
        <v>98.575108747755152</v>
      </c>
      <c r="P18" s="208">
        <v>90</v>
      </c>
      <c r="R18" s="25">
        <v>0.25</v>
      </c>
      <c r="S18" s="25">
        <f>(0.269+(R18^3.288)*(1.335-0.269)/(R18^3.288+6.656^3.288))*1000</f>
        <v>269.02195076377961</v>
      </c>
      <c r="T18" s="208">
        <v>190</v>
      </c>
    </row>
    <row r="19" spans="2:27" x14ac:dyDescent="0.25">
      <c r="B19" s="238">
        <v>0.5</v>
      </c>
      <c r="C19" s="238">
        <f t="shared" ref="C19:C82" si="0">0.1274*EXP(LN(0.01345/0.1274)*EXP(-0.1609*B19))</f>
        <v>1.6002971636388953E-2</v>
      </c>
      <c r="D19" s="4"/>
      <c r="F19" s="238">
        <v>0.5</v>
      </c>
      <c r="G19" s="238">
        <f t="shared" ref="G19:G26" si="1">0.02712+(F19^0.9173)*(0.9599-0.02712)/(F19^0.9173+27.01^0.9173)</f>
        <v>5.0533515530634981E-2</v>
      </c>
      <c r="H19" s="4"/>
      <c r="J19" s="238">
        <v>0.5</v>
      </c>
      <c r="K19" s="238">
        <f t="shared" ref="K19:K82" si="2">1.159*EXP(LN(0.07248/1.159)*EXP(-0.1362*J19))</f>
        <v>8.6990571277000411E-2</v>
      </c>
      <c r="L19" s="4"/>
      <c r="N19" s="238">
        <v>0.5</v>
      </c>
      <c r="O19" s="238">
        <f t="shared" ref="O19:O82" si="3">0.3255*EXP(LN(0.08771/0.3255)*EXP(-0.3731*N19))*1000</f>
        <v>109.63989472815658</v>
      </c>
      <c r="P19" s="4"/>
      <c r="R19" s="238">
        <v>0.5</v>
      </c>
      <c r="S19" s="238">
        <f t="shared" ref="S19:S82" si="4">(0.269+(R19^3.288)*(1.335-0.269)/(R19^3.288+6.656^3.288))*1000</f>
        <v>269.21436696623283</v>
      </c>
      <c r="T19" s="4"/>
      <c r="Z19" s="209"/>
      <c r="AA19" s="209"/>
    </row>
    <row r="20" spans="2:27" x14ac:dyDescent="0.25">
      <c r="B20" s="238">
        <v>1</v>
      </c>
      <c r="C20" s="238">
        <f t="shared" si="0"/>
        <v>1.8786444266168375E-2</v>
      </c>
      <c r="D20" s="208">
        <v>0.02</v>
      </c>
      <c r="F20" s="238">
        <v>1</v>
      </c>
      <c r="G20" s="238">
        <f t="shared" si="1"/>
        <v>7.0373512732948784E-2</v>
      </c>
      <c r="H20" s="208">
        <v>7.3999999999999996E-2</v>
      </c>
      <c r="J20" s="238">
        <v>1</v>
      </c>
      <c r="K20" s="238">
        <f t="shared" si="2"/>
        <v>0.1031593642082161</v>
      </c>
      <c r="L20" s="208">
        <v>0.13</v>
      </c>
      <c r="N20" s="238">
        <v>1</v>
      </c>
      <c r="O20" s="238">
        <f t="shared" si="3"/>
        <v>131.945342397964</v>
      </c>
      <c r="P20" s="208">
        <v>150</v>
      </c>
      <c r="R20" s="238">
        <v>1</v>
      </c>
      <c r="S20" s="238">
        <f t="shared" si="4"/>
        <v>271.09015961246922</v>
      </c>
      <c r="T20" s="208">
        <v>350</v>
      </c>
    </row>
    <row r="21" spans="2:27" x14ac:dyDescent="0.25">
      <c r="B21" s="238">
        <v>1.5</v>
      </c>
      <c r="C21" s="238">
        <f t="shared" si="0"/>
        <v>2.1782370263052547E-2</v>
      </c>
      <c r="D21" s="25"/>
      <c r="F21" s="238">
        <v>1.5</v>
      </c>
      <c r="G21" s="238">
        <f t="shared" si="1"/>
        <v>8.8576845664407045E-2</v>
      </c>
      <c r="H21" s="25"/>
      <c r="J21" s="238">
        <v>1.5</v>
      </c>
      <c r="K21" s="238">
        <f t="shared" si="2"/>
        <v>0.12096816462695098</v>
      </c>
      <c r="L21" s="25"/>
      <c r="N21" s="238">
        <v>1.5</v>
      </c>
      <c r="O21" s="238">
        <f t="shared" si="3"/>
        <v>153.86239188806928</v>
      </c>
      <c r="P21" s="25"/>
      <c r="R21" s="238">
        <v>1.5</v>
      </c>
      <c r="S21" s="238">
        <f t="shared" si="4"/>
        <v>276.8848893318671</v>
      </c>
      <c r="T21" s="25"/>
    </row>
    <row r="22" spans="2:27" x14ac:dyDescent="0.25">
      <c r="B22" s="238">
        <v>2</v>
      </c>
      <c r="C22" s="238">
        <f t="shared" si="0"/>
        <v>2.4968842505434873E-2</v>
      </c>
      <c r="D22" s="4"/>
      <c r="F22" s="238">
        <v>2</v>
      </c>
      <c r="G22" s="238">
        <f t="shared" si="1"/>
        <v>0.10557496731573351</v>
      </c>
      <c r="H22" s="4"/>
      <c r="J22" s="238">
        <v>2</v>
      </c>
      <c r="K22" s="238">
        <f t="shared" si="2"/>
        <v>0.14037195841807384</v>
      </c>
      <c r="L22" s="4"/>
      <c r="N22" s="238">
        <v>2</v>
      </c>
      <c r="O22" s="238">
        <f t="shared" si="3"/>
        <v>174.78862083812825</v>
      </c>
      <c r="P22" s="4"/>
      <c r="R22" s="238">
        <v>2</v>
      </c>
      <c r="S22" s="238">
        <f t="shared" si="4"/>
        <v>289.07074812734874</v>
      </c>
      <c r="T22" s="4"/>
    </row>
    <row r="23" spans="2:27" x14ac:dyDescent="0.25">
      <c r="B23" s="238">
        <v>3</v>
      </c>
      <c r="C23" s="238">
        <f t="shared" si="0"/>
        <v>3.1811878656488393E-2</v>
      </c>
      <c r="D23" s="4"/>
      <c r="F23" s="238">
        <v>3</v>
      </c>
      <c r="G23" s="238">
        <f t="shared" si="1"/>
        <v>0.136766796243807</v>
      </c>
      <c r="H23" s="4"/>
      <c r="J23" s="238">
        <v>3</v>
      </c>
      <c r="K23" s="238">
        <f t="shared" si="2"/>
        <v>0.18366172280267073</v>
      </c>
      <c r="L23" s="4"/>
      <c r="N23" s="238">
        <v>3</v>
      </c>
      <c r="O23" s="238">
        <f t="shared" si="3"/>
        <v>212.13089213754728</v>
      </c>
      <c r="P23" s="4"/>
      <c r="R23" s="238">
        <v>3</v>
      </c>
      <c r="S23" s="238">
        <f t="shared" si="4"/>
        <v>341.32581229157745</v>
      </c>
      <c r="T23" s="4"/>
    </row>
    <row r="24" spans="2:27" x14ac:dyDescent="0.25">
      <c r="B24" s="4">
        <v>4</v>
      </c>
      <c r="C24" s="4">
        <f t="shared" si="0"/>
        <v>3.9097272184781359E-2</v>
      </c>
      <c r="D24" s="4"/>
      <c r="F24" s="4">
        <v>4</v>
      </c>
      <c r="G24" s="4">
        <f t="shared" si="1"/>
        <v>0.16498467428087915</v>
      </c>
      <c r="H24" s="4"/>
      <c r="J24" s="4">
        <v>4</v>
      </c>
      <c r="K24" s="4">
        <f t="shared" si="2"/>
        <v>0.23221615912476309</v>
      </c>
      <c r="L24" s="4"/>
      <c r="N24" s="4">
        <v>4</v>
      </c>
      <c r="O24" s="4">
        <f t="shared" si="3"/>
        <v>242.38654734451913</v>
      </c>
      <c r="P24" s="4"/>
      <c r="R24" s="4">
        <v>4</v>
      </c>
      <c r="S24" s="4">
        <f t="shared" si="4"/>
        <v>437.26573249126562</v>
      </c>
      <c r="T24" s="4"/>
    </row>
    <row r="25" spans="2:27" x14ac:dyDescent="0.25">
      <c r="B25" s="238">
        <v>4.5</v>
      </c>
      <c r="C25" s="238">
        <f t="shared" si="0"/>
        <v>4.283537774496423E-2</v>
      </c>
      <c r="D25" s="4"/>
      <c r="F25" s="238">
        <v>4.5</v>
      </c>
      <c r="G25" s="238">
        <f t="shared" si="1"/>
        <v>0.17816719803287109</v>
      </c>
      <c r="H25" s="4"/>
      <c r="J25" s="238">
        <v>4.5</v>
      </c>
      <c r="K25" s="238">
        <f t="shared" si="2"/>
        <v>0.25814065582073992</v>
      </c>
      <c r="L25" s="4"/>
      <c r="N25" s="238">
        <v>4.5</v>
      </c>
      <c r="O25" s="238">
        <f t="shared" si="3"/>
        <v>254.85852009900506</v>
      </c>
      <c r="P25" s="4"/>
      <c r="R25" s="238">
        <v>4.5</v>
      </c>
      <c r="S25" s="238">
        <f t="shared" si="4"/>
        <v>499.63018599799869</v>
      </c>
      <c r="T25" s="4"/>
    </row>
    <row r="26" spans="2:27" x14ac:dyDescent="0.25">
      <c r="B26" s="238">
        <v>5</v>
      </c>
      <c r="C26" s="238">
        <f t="shared" si="0"/>
        <v>4.6600799289301283E-2</v>
      </c>
      <c r="D26" s="208">
        <v>4.5999999999999999E-2</v>
      </c>
      <c r="F26" s="238">
        <v>5</v>
      </c>
      <c r="G26" s="238">
        <f t="shared" si="1"/>
        <v>0.19080462370617624</v>
      </c>
      <c r="H26" s="208">
        <v>0.17</v>
      </c>
      <c r="J26" s="238">
        <v>5</v>
      </c>
      <c r="K26" s="238">
        <f t="shared" si="2"/>
        <v>0.28496691241360561</v>
      </c>
      <c r="L26" s="208">
        <v>0.24</v>
      </c>
      <c r="N26" s="238">
        <v>5</v>
      </c>
      <c r="O26" s="238">
        <f t="shared" si="3"/>
        <v>265.69379111911081</v>
      </c>
      <c r="P26" s="208">
        <v>240</v>
      </c>
      <c r="R26" s="238">
        <v>5</v>
      </c>
      <c r="S26" s="238">
        <f t="shared" si="4"/>
        <v>568.30334408317287</v>
      </c>
      <c r="T26" s="208">
        <v>570</v>
      </c>
    </row>
    <row r="27" spans="2:27" x14ac:dyDescent="0.25">
      <c r="B27" s="238">
        <v>6</v>
      </c>
      <c r="C27" s="238">
        <f t="shared" si="0"/>
        <v>5.4113826522727712E-2</v>
      </c>
      <c r="D27" s="4"/>
      <c r="F27" s="238">
        <v>6</v>
      </c>
      <c r="G27" s="238">
        <f t="shared" ref="G27:G82" si="5">0.4532*EXP(LN(0.04072/0.4532)*EXP(-0.1909*F27))</f>
        <v>0.2105753042777555</v>
      </c>
      <c r="H27" s="4"/>
      <c r="J27" s="238">
        <v>6</v>
      </c>
      <c r="K27" s="238">
        <f t="shared" si="2"/>
        <v>0.340703326680735</v>
      </c>
      <c r="L27" s="4"/>
      <c r="N27" s="238">
        <v>6</v>
      </c>
      <c r="O27" s="238">
        <f t="shared" si="3"/>
        <v>283.03343048073123</v>
      </c>
      <c r="P27" s="4"/>
      <c r="R27" s="238">
        <v>6</v>
      </c>
      <c r="S27" s="238">
        <f t="shared" si="4"/>
        <v>711.95246289887052</v>
      </c>
      <c r="T27" s="4"/>
    </row>
    <row r="28" spans="2:27" x14ac:dyDescent="0.25">
      <c r="B28" s="4">
        <v>7</v>
      </c>
      <c r="C28" s="4">
        <f t="shared" si="0"/>
        <v>6.1457557135658786E-2</v>
      </c>
      <c r="D28" s="4"/>
      <c r="F28" s="4">
        <v>7</v>
      </c>
      <c r="G28" s="4">
        <f t="shared" si="5"/>
        <v>0.24057879625523504</v>
      </c>
      <c r="H28" s="4"/>
      <c r="J28" s="4">
        <v>7</v>
      </c>
      <c r="K28" s="4">
        <f t="shared" si="2"/>
        <v>0.39818019451407355</v>
      </c>
      <c r="L28" s="4"/>
      <c r="N28" s="4">
        <v>7</v>
      </c>
      <c r="O28" s="4">
        <f t="shared" si="3"/>
        <v>295.62697811845226</v>
      </c>
      <c r="P28" s="4"/>
      <c r="R28" s="4">
        <v>7</v>
      </c>
      <c r="S28" s="4">
        <f t="shared" si="4"/>
        <v>846.05486740781328</v>
      </c>
      <c r="T28" s="4"/>
    </row>
    <row r="29" spans="2:27" x14ac:dyDescent="0.25">
      <c r="B29" s="4">
        <v>8</v>
      </c>
      <c r="C29" s="4">
        <f t="shared" si="0"/>
        <v>6.8490194392898648E-2</v>
      </c>
      <c r="D29" s="4"/>
      <c r="F29" s="4">
        <v>8</v>
      </c>
      <c r="G29" s="4">
        <f t="shared" si="5"/>
        <v>0.26856772686598995</v>
      </c>
      <c r="H29" s="4"/>
      <c r="J29" s="4">
        <v>8</v>
      </c>
      <c r="K29" s="4">
        <f t="shared" si="2"/>
        <v>0.45620721154425375</v>
      </c>
      <c r="L29" s="4"/>
      <c r="N29" s="4">
        <v>8</v>
      </c>
      <c r="O29" s="4">
        <f t="shared" si="3"/>
        <v>304.62314213146016</v>
      </c>
      <c r="P29" s="4"/>
      <c r="R29" s="4">
        <v>8</v>
      </c>
      <c r="S29" s="4">
        <f t="shared" si="4"/>
        <v>958.42441685753727</v>
      </c>
      <c r="T29" s="4"/>
    </row>
    <row r="30" spans="2:27" x14ac:dyDescent="0.25">
      <c r="B30" s="4">
        <v>9</v>
      </c>
      <c r="C30" s="4">
        <f t="shared" si="0"/>
        <v>7.5108370527865231E-2</v>
      </c>
      <c r="D30" s="4"/>
      <c r="F30" s="4">
        <v>9</v>
      </c>
      <c r="G30" s="4">
        <f t="shared" si="5"/>
        <v>0.29413316653580179</v>
      </c>
      <c r="H30" s="4"/>
      <c r="J30" s="4">
        <v>9</v>
      </c>
      <c r="K30" s="4">
        <f t="shared" si="2"/>
        <v>0.5137141766665273</v>
      </c>
      <c r="L30" s="4"/>
      <c r="N30" s="4">
        <v>9</v>
      </c>
      <c r="O30" s="4">
        <f t="shared" si="3"/>
        <v>310.97652923242873</v>
      </c>
      <c r="P30" s="4"/>
      <c r="R30" s="4">
        <v>9</v>
      </c>
      <c r="S30" s="4">
        <f t="shared" si="4"/>
        <v>1046.63051712485</v>
      </c>
      <c r="T30" s="4"/>
    </row>
    <row r="31" spans="2:27" x14ac:dyDescent="0.25">
      <c r="B31" s="25">
        <v>10</v>
      </c>
      <c r="C31" s="25">
        <f t="shared" si="0"/>
        <v>8.1244591779651487E-2</v>
      </c>
      <c r="D31" s="208">
        <v>7.8E-2</v>
      </c>
      <c r="F31" s="25">
        <v>10</v>
      </c>
      <c r="G31" s="25">
        <f t="shared" si="5"/>
        <v>0.31708184865149769</v>
      </c>
      <c r="H31" s="208">
        <v>0.3</v>
      </c>
      <c r="J31" s="25">
        <v>10</v>
      </c>
      <c r="K31" s="25">
        <f t="shared" si="2"/>
        <v>0.56979127877359459</v>
      </c>
      <c r="L31" s="208">
        <v>0.57999999999999996</v>
      </c>
      <c r="N31" s="25">
        <v>10</v>
      </c>
      <c r="O31" s="25">
        <f t="shared" si="3"/>
        <v>315.42832146177966</v>
      </c>
      <c r="P31" s="208">
        <v>310</v>
      </c>
      <c r="R31" s="25">
        <v>10</v>
      </c>
      <c r="S31" s="25">
        <f t="shared" si="4"/>
        <v>1113.5196774851379</v>
      </c>
      <c r="T31" s="208">
        <v>1100</v>
      </c>
    </row>
    <row r="32" spans="2:27" x14ac:dyDescent="0.25">
      <c r="B32" s="238">
        <v>10.3</v>
      </c>
      <c r="C32" s="238">
        <f t="shared" si="0"/>
        <v>8.2985309465026566E-2</v>
      </c>
      <c r="D32" s="25"/>
      <c r="F32" s="238">
        <v>10.3</v>
      </c>
      <c r="G32" s="238">
        <f t="shared" si="5"/>
        <v>0.32344871018179555</v>
      </c>
      <c r="H32" s="25"/>
      <c r="J32" s="238">
        <v>10.3</v>
      </c>
      <c r="K32" s="238">
        <f t="shared" si="2"/>
        <v>0.58622151545326107</v>
      </c>
      <c r="L32" s="25"/>
      <c r="N32" s="238">
        <v>10.3</v>
      </c>
      <c r="O32" s="238">
        <f t="shared" si="3"/>
        <v>316.47991923959142</v>
      </c>
      <c r="P32" s="25"/>
      <c r="R32" s="238">
        <v>10.3</v>
      </c>
      <c r="S32" s="238">
        <f t="shared" si="4"/>
        <v>1130.0892485529789</v>
      </c>
      <c r="T32" s="25"/>
    </row>
    <row r="33" spans="2:20" x14ac:dyDescent="0.25">
      <c r="B33" s="4">
        <v>11</v>
      </c>
      <c r="C33" s="4">
        <f t="shared" si="0"/>
        <v>8.6862361985254696E-2</v>
      </c>
      <c r="D33" s="4"/>
      <c r="F33" s="4">
        <v>11</v>
      </c>
      <c r="G33" s="4">
        <f t="shared" si="5"/>
        <v>0.33738721520106352</v>
      </c>
      <c r="H33" s="4"/>
      <c r="J33" s="4">
        <v>11</v>
      </c>
      <c r="K33" s="4">
        <f t="shared" si="2"/>
        <v>0.62370731939420443</v>
      </c>
      <c r="L33" s="4"/>
      <c r="N33" s="4">
        <v>11</v>
      </c>
      <c r="O33" s="4">
        <f t="shared" si="3"/>
        <v>318.5308058695083</v>
      </c>
      <c r="P33" s="4"/>
      <c r="R33" s="4">
        <v>11</v>
      </c>
      <c r="S33" s="4">
        <f t="shared" si="4"/>
        <v>1163.5190704294839</v>
      </c>
      <c r="T33" s="4"/>
    </row>
    <row r="34" spans="2:20" x14ac:dyDescent="0.25">
      <c r="B34" s="238">
        <v>12</v>
      </c>
      <c r="C34" s="238">
        <f t="shared" si="0"/>
        <v>9.1950315234904823E-2</v>
      </c>
      <c r="D34" s="4"/>
      <c r="F34" s="238">
        <v>12</v>
      </c>
      <c r="G34" s="238">
        <f t="shared" si="5"/>
        <v>0.35514123714527446</v>
      </c>
      <c r="H34" s="4"/>
      <c r="J34" s="238">
        <v>12</v>
      </c>
      <c r="K34" s="238">
        <f t="shared" si="2"/>
        <v>0.67491050875256497</v>
      </c>
      <c r="L34" s="4"/>
      <c r="N34" s="238">
        <v>12</v>
      </c>
      <c r="O34" s="238">
        <f t="shared" si="3"/>
        <v>320.68488835667438</v>
      </c>
      <c r="P34" s="4"/>
      <c r="R34" s="238">
        <v>12</v>
      </c>
      <c r="S34" s="238">
        <f t="shared" si="4"/>
        <v>1200.8141455122216</v>
      </c>
      <c r="T34" s="4"/>
    </row>
    <row r="35" spans="2:20" x14ac:dyDescent="0.25">
      <c r="B35" s="238">
        <v>13</v>
      </c>
      <c r="C35" s="238">
        <f t="shared" si="0"/>
        <v>9.6516289811889672E-2</v>
      </c>
      <c r="D35" s="4"/>
      <c r="F35" s="238">
        <v>13</v>
      </c>
      <c r="G35" s="238">
        <f t="shared" si="5"/>
        <v>0.37051258688828209</v>
      </c>
      <c r="H35" s="4"/>
      <c r="J35" s="238">
        <v>13</v>
      </c>
      <c r="K35" s="238">
        <f t="shared" si="2"/>
        <v>0.72301693114849375</v>
      </c>
      <c r="L35" s="4"/>
      <c r="N35" s="238">
        <v>13</v>
      </c>
      <c r="O35" s="238">
        <f t="shared" si="3"/>
        <v>322.17664483829867</v>
      </c>
      <c r="P35" s="4"/>
      <c r="R35" s="238">
        <v>13</v>
      </c>
      <c r="S35" s="238">
        <f t="shared" si="4"/>
        <v>1228.7700834522527</v>
      </c>
      <c r="T35" s="4"/>
    </row>
    <row r="36" spans="2:20" x14ac:dyDescent="0.25">
      <c r="B36" s="4">
        <v>14</v>
      </c>
      <c r="C36" s="4">
        <f t="shared" si="0"/>
        <v>0.10058191321539968</v>
      </c>
      <c r="D36" s="4"/>
      <c r="F36" s="4">
        <v>14</v>
      </c>
      <c r="G36" s="4">
        <f t="shared" si="5"/>
        <v>0.38371331110330154</v>
      </c>
      <c r="H36" s="4"/>
      <c r="J36" s="4">
        <v>14</v>
      </c>
      <c r="K36" s="4">
        <f t="shared" si="2"/>
        <v>0.76779137679883447</v>
      </c>
      <c r="L36" s="4"/>
      <c r="N36" s="4">
        <v>14</v>
      </c>
      <c r="O36" s="4">
        <f t="shared" si="3"/>
        <v>323.20789538175381</v>
      </c>
      <c r="P36" s="4"/>
      <c r="R36" s="4">
        <v>14</v>
      </c>
      <c r="S36" s="4">
        <f t="shared" si="4"/>
        <v>1249.9087323652218</v>
      </c>
      <c r="T36" s="4"/>
    </row>
    <row r="37" spans="2:20" x14ac:dyDescent="0.25">
      <c r="B37" s="238">
        <v>15</v>
      </c>
      <c r="C37" s="238">
        <f t="shared" si="0"/>
        <v>0.10417798503137558</v>
      </c>
      <c r="D37" s="208">
        <v>0.11</v>
      </c>
      <c r="F37" s="238">
        <v>15</v>
      </c>
      <c r="G37" s="238">
        <f t="shared" si="5"/>
        <v>0.3949740450806723</v>
      </c>
      <c r="H37" s="208">
        <v>0.42</v>
      </c>
      <c r="J37" s="238">
        <v>15</v>
      </c>
      <c r="K37" s="238">
        <f t="shared" si="2"/>
        <v>0.80912439760651433</v>
      </c>
      <c r="L37" s="208">
        <v>0.9</v>
      </c>
      <c r="N37" s="238">
        <v>15</v>
      </c>
      <c r="O37" s="238">
        <f t="shared" si="3"/>
        <v>323.91992921342694</v>
      </c>
      <c r="P37" s="208">
        <v>350</v>
      </c>
      <c r="R37" s="238">
        <v>15</v>
      </c>
      <c r="S37" s="238">
        <f t="shared" si="4"/>
        <v>1266.0618813183844</v>
      </c>
      <c r="T37" s="208">
        <v>1300</v>
      </c>
    </row>
    <row r="38" spans="2:20" x14ac:dyDescent="0.25">
      <c r="B38" s="4">
        <v>16</v>
      </c>
      <c r="C38" s="4">
        <f t="shared" si="0"/>
        <v>0.10734074761075682</v>
      </c>
      <c r="D38" s="4"/>
      <c r="F38" s="4">
        <v>16</v>
      </c>
      <c r="G38" s="4">
        <f>0.4532*EXP(LN(0.04072/0.4532)*EXP(-0.1909*F38))</f>
        <v>0.40452672562638747</v>
      </c>
      <c r="H38" s="4"/>
      <c r="J38" s="4">
        <v>16</v>
      </c>
      <c r="K38" s="4">
        <f t="shared" si="2"/>
        <v>0.84700846813283548</v>
      </c>
      <c r="L38" s="4"/>
      <c r="N38" s="4">
        <v>16</v>
      </c>
      <c r="O38" s="4">
        <f t="shared" si="3"/>
        <v>324.41114488526313</v>
      </c>
      <c r="P38" s="4"/>
      <c r="R38" s="4">
        <v>16</v>
      </c>
      <c r="S38" s="4">
        <f t="shared" si="4"/>
        <v>1278.544736357587</v>
      </c>
      <c r="T38" s="4"/>
    </row>
    <row r="39" spans="2:20" x14ac:dyDescent="0.25">
      <c r="B39" s="4">
        <v>17</v>
      </c>
      <c r="C39" s="4">
        <f t="shared" si="0"/>
        <v>0.11010901229876653</v>
      </c>
      <c r="D39" s="4"/>
      <c r="F39" s="4">
        <v>17</v>
      </c>
      <c r="G39" s="4">
        <f t="shared" si="5"/>
        <v>0.41259335294505389</v>
      </c>
      <c r="H39" s="4"/>
      <c r="J39" s="4">
        <v>17</v>
      </c>
      <c r="K39" s="4">
        <f t="shared" si="2"/>
        <v>0.88151520962974084</v>
      </c>
      <c r="L39" s="4"/>
      <c r="N39" s="4">
        <v>17</v>
      </c>
      <c r="O39" s="4">
        <f t="shared" si="3"/>
        <v>324.74982722474084</v>
      </c>
      <c r="P39" s="4"/>
      <c r="R39" s="4">
        <v>17</v>
      </c>
      <c r="S39" s="4">
        <f t="shared" si="4"/>
        <v>1288.3005691845385</v>
      </c>
      <c r="T39" s="4"/>
    </row>
    <row r="40" spans="2:20" x14ac:dyDescent="0.25">
      <c r="B40" s="4">
        <v>18</v>
      </c>
      <c r="C40" s="4">
        <f t="shared" si="0"/>
        <v>0.11252204328992306</v>
      </c>
      <c r="D40" s="4"/>
      <c r="F40" s="4">
        <v>18</v>
      </c>
      <c r="G40" s="4">
        <f t="shared" si="5"/>
        <v>0.41937933711489428</v>
      </c>
      <c r="H40" s="4"/>
      <c r="J40" s="4">
        <v>18</v>
      </c>
      <c r="K40" s="4">
        <f t="shared" si="2"/>
        <v>0.91277486033054378</v>
      </c>
      <c r="L40" s="4"/>
      <c r="N40" s="4">
        <v>18</v>
      </c>
      <c r="O40" s="4">
        <f t="shared" si="3"/>
        <v>324.98324819729345</v>
      </c>
      <c r="P40" s="4"/>
      <c r="R40" s="4">
        <v>18</v>
      </c>
      <c r="S40" s="4">
        <f t="shared" si="4"/>
        <v>1296.0090646032395</v>
      </c>
      <c r="T40" s="4"/>
    </row>
    <row r="41" spans="2:20" x14ac:dyDescent="0.25">
      <c r="B41" s="238">
        <v>19</v>
      </c>
      <c r="C41" s="238">
        <f t="shared" si="0"/>
        <v>0.11461807427260852</v>
      </c>
      <c r="D41" s="4"/>
      <c r="F41" s="238">
        <v>19</v>
      </c>
      <c r="G41" s="238">
        <f t="shared" si="5"/>
        <v>0.42507014184365133</v>
      </c>
      <c r="H41" s="4"/>
      <c r="J41" s="238">
        <v>19</v>
      </c>
      <c r="K41" s="238">
        <f t="shared" si="2"/>
        <v>0.94095858070676486</v>
      </c>
      <c r="L41" s="4"/>
      <c r="N41" s="238">
        <v>19</v>
      </c>
      <c r="O41" s="238">
        <f t="shared" si="3"/>
        <v>325.14407856628753</v>
      </c>
      <c r="P41" s="4"/>
      <c r="R41" s="238">
        <v>19</v>
      </c>
      <c r="S41" s="238">
        <f t="shared" si="4"/>
        <v>1302.1638129795101</v>
      </c>
      <c r="T41" s="4"/>
    </row>
    <row r="42" spans="2:20" x14ac:dyDescent="0.25">
      <c r="B42" s="238">
        <v>20</v>
      </c>
      <c r="C42" s="238">
        <f t="shared" si="0"/>
        <v>0.1164333302456125</v>
      </c>
      <c r="D42" s="4"/>
      <c r="F42" s="238">
        <v>20</v>
      </c>
      <c r="G42" s="238">
        <f t="shared" si="5"/>
        <v>0.42983018361703773</v>
      </c>
      <c r="H42" s="4"/>
      <c r="J42" s="238">
        <v>20</v>
      </c>
      <c r="K42" s="238">
        <f t="shared" si="2"/>
        <v>0.96626376086378352</v>
      </c>
      <c r="L42" s="4"/>
      <c r="N42" s="238">
        <v>20</v>
      </c>
      <c r="O42" s="238">
        <f t="shared" si="3"/>
        <v>325.25487204600768</v>
      </c>
      <c r="P42" s="4"/>
      <c r="R42" s="238">
        <v>20</v>
      </c>
      <c r="S42" s="238">
        <f t="shared" si="4"/>
        <v>1307.1266549866746</v>
      </c>
      <c r="T42" s="4"/>
    </row>
    <row r="43" spans="2:20" x14ac:dyDescent="0.25">
      <c r="B43" s="4">
        <v>21</v>
      </c>
      <c r="C43" s="4">
        <f t="shared" si="0"/>
        <v>0.11800143747890274</v>
      </c>
      <c r="D43" s="4"/>
      <c r="F43" s="4">
        <v>21</v>
      </c>
      <c r="G43" s="4">
        <f t="shared" si="5"/>
        <v>0.43380319039655862</v>
      </c>
      <c r="H43" s="4"/>
      <c r="J43" s="4">
        <v>21</v>
      </c>
      <c r="K43" s="4">
        <f t="shared" si="2"/>
        <v>0.98890222237825742</v>
      </c>
      <c r="L43" s="4"/>
      <c r="N43" s="4">
        <v>21</v>
      </c>
      <c r="O43" s="4">
        <f t="shared" si="3"/>
        <v>325.33118598207949</v>
      </c>
      <c r="P43" s="4"/>
      <c r="R43" s="4">
        <v>21</v>
      </c>
      <c r="S43" s="4">
        <f t="shared" si="4"/>
        <v>1311.1655547603318</v>
      </c>
      <c r="T43" s="4"/>
    </row>
    <row r="44" spans="2:20" x14ac:dyDescent="0.25">
      <c r="B44" s="4">
        <v>22</v>
      </c>
      <c r="C44" s="4">
        <f t="shared" si="0"/>
        <v>0.11935312130043983</v>
      </c>
      <c r="D44" s="4"/>
      <c r="F44" s="4">
        <v>22</v>
      </c>
      <c r="G44" s="4">
        <f t="shared" si="5"/>
        <v>0.43711343913167361</v>
      </c>
      <c r="H44" s="4"/>
      <c r="J44" s="4">
        <v>22</v>
      </c>
      <c r="K44" s="4">
        <f t="shared" si="2"/>
        <v>1.0090910461502351</v>
      </c>
      <c r="L44" s="4"/>
      <c r="N44" s="4">
        <v>22</v>
      </c>
      <c r="O44" s="4">
        <f t="shared" si="3"/>
        <v>325.38374589101767</v>
      </c>
      <c r="P44" s="4"/>
      <c r="R44" s="4">
        <v>22</v>
      </c>
      <c r="S44" s="4">
        <f t="shared" si="4"/>
        <v>1314.4810207290157</v>
      </c>
      <c r="T44" s="4"/>
    </row>
    <row r="45" spans="2:20" x14ac:dyDescent="0.25">
      <c r="B45" s="4">
        <v>23</v>
      </c>
      <c r="C45" s="4">
        <f t="shared" si="0"/>
        <v>0.1205161097213802</v>
      </c>
      <c r="D45" s="4"/>
      <c r="F45" s="4">
        <v>23</v>
      </c>
      <c r="G45" s="4">
        <f t="shared" si="5"/>
        <v>0.43986746508858982</v>
      </c>
      <c r="H45" s="4"/>
      <c r="J45" s="4">
        <v>23</v>
      </c>
      <c r="K45" s="4">
        <f t="shared" si="2"/>
        <v>1.0270456798752368</v>
      </c>
      <c r="L45" s="4"/>
      <c r="N45" s="4">
        <v>23</v>
      </c>
      <c r="O45" s="4">
        <f t="shared" si="3"/>
        <v>325.41994339020846</v>
      </c>
      <c r="P45" s="4"/>
      <c r="R45" s="4">
        <v>23</v>
      </c>
      <c r="S45" s="4">
        <f t="shared" si="4"/>
        <v>1317.2246316170463</v>
      </c>
      <c r="T45" s="4"/>
    </row>
    <row r="46" spans="2:20" x14ac:dyDescent="0.25">
      <c r="B46" s="4">
        <v>24</v>
      </c>
      <c r="C46" s="4">
        <f t="shared" si="0"/>
        <v>0.12151517833192617</v>
      </c>
      <c r="D46" s="4"/>
      <c r="F46" s="4">
        <v>24</v>
      </c>
      <c r="G46" s="4">
        <f t="shared" si="5"/>
        <v>0.44215596896603776</v>
      </c>
      <c r="H46" s="4"/>
      <c r="J46" s="4">
        <v>24</v>
      </c>
      <c r="K46" s="4">
        <f t="shared" si="2"/>
        <v>1.0429749568359015</v>
      </c>
      <c r="L46" s="4"/>
      <c r="N46" s="4">
        <v>24</v>
      </c>
      <c r="O46" s="4">
        <f t="shared" si="3"/>
        <v>325.444871197829</v>
      </c>
      <c r="P46" s="4"/>
      <c r="R46" s="4">
        <v>24</v>
      </c>
      <c r="S46" s="4">
        <f t="shared" si="4"/>
        <v>1319.5121233883924</v>
      </c>
      <c r="T46" s="4"/>
    </row>
    <row r="47" spans="2:20" x14ac:dyDescent="0.25">
      <c r="B47" s="238">
        <v>25</v>
      </c>
      <c r="C47" s="238">
        <f t="shared" si="0"/>
        <v>0.12237228718165492</v>
      </c>
      <c r="D47" s="208">
        <v>0.12</v>
      </c>
      <c r="F47" s="238">
        <v>25</v>
      </c>
      <c r="G47" s="238">
        <f t="shared" si="5"/>
        <v>0.4440557454516687</v>
      </c>
      <c r="H47" s="208">
        <v>0.44</v>
      </c>
      <c r="J47" s="238">
        <v>25</v>
      </c>
      <c r="K47" s="238">
        <f t="shared" si="2"/>
        <v>1.0570776709578669</v>
      </c>
      <c r="L47" s="208">
        <v>0.99</v>
      </c>
      <c r="N47" s="238">
        <v>25</v>
      </c>
      <c r="O47" s="238">
        <f t="shared" si="3"/>
        <v>325.46203750581134</v>
      </c>
      <c r="P47" s="208">
        <v>320</v>
      </c>
      <c r="R47" s="238">
        <v>25</v>
      </c>
      <c r="S47" s="238">
        <f t="shared" si="4"/>
        <v>1321.4327144690637</v>
      </c>
      <c r="T47" s="208">
        <v>1300</v>
      </c>
    </row>
    <row r="48" spans="2:20" x14ac:dyDescent="0.25">
      <c r="B48" s="4">
        <v>26</v>
      </c>
      <c r="C48" s="4">
        <f t="shared" si="0"/>
        <v>0.1231067730776145</v>
      </c>
      <c r="D48" s="4"/>
      <c r="F48" s="4">
        <v>26</v>
      </c>
      <c r="G48" s="4">
        <f t="shared" si="5"/>
        <v>0.44563152621106872</v>
      </c>
      <c r="H48" s="4"/>
      <c r="J48" s="4">
        <v>26</v>
      </c>
      <c r="K48" s="4">
        <f t="shared" si="2"/>
        <v>1.0695403861243402</v>
      </c>
      <c r="L48" s="4"/>
      <c r="N48" s="4">
        <v>26</v>
      </c>
      <c r="O48" s="4">
        <f t="shared" si="3"/>
        <v>325.47385868959287</v>
      </c>
      <c r="P48" s="4"/>
      <c r="R48" s="4">
        <v>26</v>
      </c>
      <c r="S48" s="4">
        <f t="shared" si="4"/>
        <v>1323.0558124702529</v>
      </c>
      <c r="T48" s="4"/>
    </row>
    <row r="49" spans="2:20" x14ac:dyDescent="0.25">
      <c r="B49" s="4">
        <v>27</v>
      </c>
      <c r="C49" s="4">
        <f t="shared" si="0"/>
        <v>0.12373557092290143</v>
      </c>
      <c r="D49" s="4"/>
      <c r="F49" s="4">
        <v>27</v>
      </c>
      <c r="G49" s="4">
        <f t="shared" si="5"/>
        <v>0.44693767797740414</v>
      </c>
      <c r="H49" s="4"/>
      <c r="J49" s="4">
        <v>27</v>
      </c>
      <c r="K49" s="4">
        <f t="shared" si="2"/>
        <v>1.0805361999792247</v>
      </c>
      <c r="L49" s="4"/>
      <c r="N49" s="4">
        <v>27</v>
      </c>
      <c r="O49" s="4">
        <f t="shared" si="3"/>
        <v>325.48199896345182</v>
      </c>
      <c r="P49" s="4"/>
      <c r="R49" s="4">
        <v>27</v>
      </c>
      <c r="S49" s="4">
        <f t="shared" si="4"/>
        <v>1324.4358837128179</v>
      </c>
      <c r="T49" s="4"/>
    </row>
    <row r="50" spans="2:20" x14ac:dyDescent="0.25">
      <c r="B50" s="4">
        <v>28</v>
      </c>
      <c r="C50" s="4">
        <f t="shared" si="0"/>
        <v>0.12427344563867948</v>
      </c>
      <c r="D50" s="4"/>
      <c r="F50" s="4">
        <v>28</v>
      </c>
      <c r="G50" s="4">
        <f t="shared" si="5"/>
        <v>0.44801972813258095</v>
      </c>
      <c r="H50" s="4"/>
      <c r="J50" s="4">
        <v>28</v>
      </c>
      <c r="K50" s="4">
        <f t="shared" si="2"/>
        <v>1.0902242269575799</v>
      </c>
      <c r="L50" s="4"/>
      <c r="N50" s="4">
        <v>28</v>
      </c>
      <c r="O50" s="4">
        <f t="shared" si="3"/>
        <v>325.48760444484446</v>
      </c>
      <c r="P50" s="4"/>
      <c r="R50" s="4">
        <v>28</v>
      </c>
      <c r="S50" s="4">
        <f t="shared" si="4"/>
        <v>1325.6160224731634</v>
      </c>
      <c r="T50" s="4"/>
    </row>
    <row r="51" spans="2:20" x14ac:dyDescent="0.25">
      <c r="B51" s="4">
        <v>29</v>
      </c>
      <c r="C51" s="4">
        <f t="shared" si="0"/>
        <v>0.12473322221423393</v>
      </c>
      <c r="F51" s="4">
        <v>29</v>
      </c>
      <c r="G51" s="4">
        <f t="shared" si="5"/>
        <v>0.4489157104928681</v>
      </c>
      <c r="J51" s="4">
        <v>29</v>
      </c>
      <c r="K51" s="4">
        <f t="shared" si="2"/>
        <v>1.0987496078893992</v>
      </c>
      <c r="N51" s="4">
        <v>29</v>
      </c>
      <c r="O51" s="4">
        <f t="shared" si="3"/>
        <v>325.49146441510749</v>
      </c>
      <c r="R51" s="4">
        <v>29</v>
      </c>
      <c r="S51" s="4">
        <f t="shared" si="4"/>
        <v>1326.6305915888261</v>
      </c>
    </row>
    <row r="52" spans="2:20" x14ac:dyDescent="0.25">
      <c r="B52" s="4">
        <v>30</v>
      </c>
      <c r="C52" s="4">
        <f t="shared" si="0"/>
        <v>0.12512600587385228</v>
      </c>
      <c r="F52" s="4">
        <v>30</v>
      </c>
      <c r="G52" s="4">
        <f t="shared" si="5"/>
        <v>0.449657336400267</v>
      </c>
      <c r="J52" s="4">
        <v>30</v>
      </c>
      <c r="K52" s="4">
        <f t="shared" si="2"/>
        <v>1.1062438919704165</v>
      </c>
      <c r="N52" s="4">
        <v>30</v>
      </c>
      <c r="O52" s="4">
        <f t="shared" si="3"/>
        <v>325.49412240323102</v>
      </c>
      <c r="R52" s="4">
        <v>30</v>
      </c>
      <c r="S52" s="4">
        <f t="shared" si="4"/>
        <v>1327.5071937543914</v>
      </c>
    </row>
    <row r="53" spans="2:20" x14ac:dyDescent="0.25">
      <c r="B53" s="4">
        <v>31</v>
      </c>
      <c r="C53" s="4">
        <f t="shared" si="0"/>
        <v>0.12546138756728403</v>
      </c>
      <c r="F53" s="4">
        <v>31</v>
      </c>
      <c r="G53" s="4">
        <f t="shared" si="5"/>
        <v>0.4502710032286294</v>
      </c>
      <c r="J53" s="4">
        <v>31</v>
      </c>
      <c r="K53" s="4">
        <f t="shared" si="2"/>
        <v>1.112825670200275</v>
      </c>
      <c r="N53" s="4">
        <v>31</v>
      </c>
      <c r="O53" s="4">
        <f t="shared" si="3"/>
        <v>325.49595269682277</v>
      </c>
      <c r="R53" s="4">
        <v>31</v>
      </c>
      <c r="S53" s="4">
        <f t="shared" si="4"/>
        <v>1328.2681560303843</v>
      </c>
    </row>
    <row r="54" spans="2:20" x14ac:dyDescent="0.25">
      <c r="B54" s="4">
        <v>32</v>
      </c>
      <c r="C54" s="4">
        <f t="shared" si="0"/>
        <v>0.12574763226634367</v>
      </c>
      <c r="F54" s="4">
        <v>32</v>
      </c>
      <c r="G54" s="4">
        <f t="shared" si="5"/>
        <v>0.45077865587126342</v>
      </c>
      <c r="J54" s="4">
        <v>32</v>
      </c>
      <c r="K54" s="4">
        <f t="shared" si="2"/>
        <v>1.1186013673739619</v>
      </c>
      <c r="N54" s="4">
        <v>32</v>
      </c>
      <c r="O54" s="4">
        <f t="shared" si="3"/>
        <v>325.49721303632924</v>
      </c>
      <c r="R54" s="4">
        <v>32</v>
      </c>
      <c r="S54" s="4">
        <f t="shared" si="4"/>
        <v>1328.9316571608792</v>
      </c>
    </row>
    <row r="55" spans="2:20" x14ac:dyDescent="0.25">
      <c r="B55" s="4">
        <v>33</v>
      </c>
      <c r="C55" s="4">
        <f t="shared" si="0"/>
        <v>0.12599184911705252</v>
      </c>
      <c r="F55" s="4">
        <v>33</v>
      </c>
      <c r="G55" s="4">
        <f t="shared" si="5"/>
        <v>0.45119851796742338</v>
      </c>
      <c r="J55" s="4">
        <v>33</v>
      </c>
      <c r="K55" s="4">
        <f t="shared" si="2"/>
        <v>1.1236661226637534</v>
      </c>
      <c r="N55" s="4">
        <v>33</v>
      </c>
      <c r="O55" s="4">
        <f t="shared" si="3"/>
        <v>325.49808090437523</v>
      </c>
      <c r="R55" s="4">
        <v>33</v>
      </c>
      <c r="S55" s="4">
        <f t="shared" si="4"/>
        <v>1329.5125905273242</v>
      </c>
    </row>
    <row r="56" spans="2:20" x14ac:dyDescent="0.25">
      <c r="B56" s="4">
        <v>34</v>
      </c>
      <c r="C56" s="4">
        <f t="shared" si="0"/>
        <v>0.12620014353997625</v>
      </c>
      <c r="F56" s="4">
        <v>34</v>
      </c>
      <c r="G56" s="4">
        <f t="shared" si="5"/>
        <v>0.45154570942887906</v>
      </c>
      <c r="J56" s="4">
        <v>34</v>
      </c>
      <c r="K56" s="4">
        <f t="shared" si="2"/>
        <v>1.1281047072737538</v>
      </c>
      <c r="N56" s="4">
        <v>34</v>
      </c>
      <c r="O56" s="4">
        <f t="shared" si="3"/>
        <v>325.49867851650646</v>
      </c>
      <c r="R56" s="4">
        <v>34</v>
      </c>
      <c r="S56" s="4">
        <f t="shared" si="4"/>
        <v>1330.0232298077281</v>
      </c>
    </row>
    <row r="57" spans="2:20" x14ac:dyDescent="0.25">
      <c r="B57" s="4">
        <v>35</v>
      </c>
      <c r="C57" s="4">
        <f t="shared" si="0"/>
        <v>0.12637775203497922</v>
      </c>
      <c r="F57" s="4">
        <v>35</v>
      </c>
      <c r="G57" s="4">
        <f t="shared" si="5"/>
        <v>0.45183276583586046</v>
      </c>
      <c r="J57" s="4">
        <v>35</v>
      </c>
      <c r="K57" s="4">
        <f t="shared" si="2"/>
        <v>1.1319924422105569</v>
      </c>
      <c r="N57" s="4">
        <v>35</v>
      </c>
      <c r="O57" s="4">
        <f t="shared" si="3"/>
        <v>325.49909003068842</v>
      </c>
      <c r="R57" s="4">
        <v>35</v>
      </c>
      <c r="S57" s="4">
        <f t="shared" si="4"/>
        <v>1330.4737462114961</v>
      </c>
    </row>
    <row r="58" spans="2:20" x14ac:dyDescent="0.25">
      <c r="B58" s="4">
        <v>36</v>
      </c>
      <c r="C58" s="4">
        <f t="shared" si="0"/>
        <v>0.12652916083993904</v>
      </c>
      <c r="F58" s="4">
        <v>36</v>
      </c>
      <c r="G58" s="4">
        <f t="shared" si="5"/>
        <v>0.4520700738718133</v>
      </c>
      <c r="J58" s="4">
        <v>36</v>
      </c>
      <c r="K58" s="4">
        <f t="shared" si="2"/>
        <v>1.1353960905217932</v>
      </c>
      <c r="N58" s="4">
        <v>36</v>
      </c>
      <c r="O58" s="4">
        <f t="shared" si="3"/>
        <v>325.49937339816273</v>
      </c>
      <c r="R58" s="4">
        <v>36</v>
      </c>
      <c r="S58" s="4">
        <f t="shared" si="4"/>
        <v>1330.8726131934443</v>
      </c>
    </row>
    <row r="59" spans="2:20" x14ac:dyDescent="0.25">
      <c r="B59" s="4">
        <v>37</v>
      </c>
      <c r="C59" s="4">
        <f t="shared" si="0"/>
        <v>0.12665820979789813</v>
      </c>
      <c r="F59" s="4">
        <v>37</v>
      </c>
      <c r="G59" s="4">
        <f t="shared" si="5"/>
        <v>0.452266235405761</v>
      </c>
      <c r="J59" s="4">
        <v>37</v>
      </c>
      <c r="K59" s="4">
        <f t="shared" si="2"/>
        <v>1.1383747069969317</v>
      </c>
      <c r="N59" s="4">
        <v>37</v>
      </c>
      <c r="O59" s="4">
        <f t="shared" si="3"/>
        <v>325.49956852412021</v>
      </c>
      <c r="R59" s="4">
        <v>37</v>
      </c>
      <c r="S59" s="4">
        <f t="shared" si="4"/>
        <v>1331.226925234866</v>
      </c>
    </row>
    <row r="60" spans="2:20" x14ac:dyDescent="0.25">
      <c r="B60" s="4">
        <v>38</v>
      </c>
      <c r="C60" s="4">
        <f t="shared" si="0"/>
        <v>0.12676818286396122</v>
      </c>
      <c r="F60" s="4">
        <v>38</v>
      </c>
      <c r="G60" s="4">
        <f t="shared" si="5"/>
        <v>0.45242837126132474</v>
      </c>
      <c r="J60" s="4">
        <v>38</v>
      </c>
      <c r="K60" s="4">
        <f t="shared" si="2"/>
        <v>1.1409804348226431</v>
      </c>
      <c r="N60" s="4">
        <v>38</v>
      </c>
      <c r="O60" s="4">
        <f t="shared" si="3"/>
        <v>325.4997028872142</v>
      </c>
      <c r="R60" s="4">
        <v>38</v>
      </c>
      <c r="S60" s="4">
        <f t="shared" si="4"/>
        <v>1331.5426505324569</v>
      </c>
    </row>
    <row r="61" spans="2:20" x14ac:dyDescent="0.25">
      <c r="B61" s="4">
        <v>39</v>
      </c>
      <c r="C61" s="4">
        <f t="shared" si="0"/>
        <v>0.12686188667571027</v>
      </c>
      <c r="F61" s="4">
        <v>39</v>
      </c>
      <c r="G61" s="4">
        <f t="shared" si="5"/>
        <v>0.45256237422060491</v>
      </c>
      <c r="J61" s="4">
        <v>39</v>
      </c>
      <c r="K61" s="4">
        <f t="shared" si="2"/>
        <v>1.1432592434842042</v>
      </c>
      <c r="N61" s="4">
        <v>39</v>
      </c>
      <c r="O61" s="4">
        <f t="shared" si="3"/>
        <v>325.4997954091852</v>
      </c>
      <c r="R61" s="4">
        <v>39</v>
      </c>
      <c r="S61" s="4">
        <f t="shared" si="4"/>
        <v>1331.8248325107081</v>
      </c>
    </row>
    <row r="62" spans="2:20" x14ac:dyDescent="0.25">
      <c r="B62" s="4">
        <v>40</v>
      </c>
      <c r="C62" s="4">
        <f t="shared" si="0"/>
        <v>0.1269417185502624</v>
      </c>
      <c r="F62" s="4">
        <v>40</v>
      </c>
      <c r="G62" s="4">
        <f t="shared" si="5"/>
        <v>0.45267311944555183</v>
      </c>
      <c r="J62" s="4">
        <v>40</v>
      </c>
      <c r="K62" s="4">
        <f t="shared" si="2"/>
        <v>1.1452516056768129</v>
      </c>
      <c r="N62" s="4">
        <v>40</v>
      </c>
      <c r="O62" s="4">
        <f t="shared" si="3"/>
        <v>325.49985911949386</v>
      </c>
      <c r="R62" s="4">
        <v>40</v>
      </c>
      <c r="S62" s="4">
        <f t="shared" si="4"/>
        <v>1332.0777514505453</v>
      </c>
    </row>
    <row r="63" spans="2:20" x14ac:dyDescent="0.25">
      <c r="B63" s="4">
        <v>41</v>
      </c>
      <c r="C63" s="4">
        <f t="shared" si="0"/>
        <v>0.1270097251793097</v>
      </c>
      <c r="F63" s="4">
        <v>41</v>
      </c>
      <c r="G63" s="4">
        <f t="shared" si="5"/>
        <v>0.45276463927903549</v>
      </c>
      <c r="J63" s="4">
        <v>41</v>
      </c>
      <c r="K63" s="4">
        <f t="shared" si="2"/>
        <v>1.1469931134403821</v>
      </c>
      <c r="N63" s="4">
        <v>41</v>
      </c>
      <c r="O63" s="4">
        <f t="shared" si="3"/>
        <v>325.49990299018839</v>
      </c>
      <c r="R63" s="4">
        <v>41</v>
      </c>
      <c r="S63" s="4">
        <f t="shared" si="4"/>
        <v>1332.3050548425551</v>
      </c>
    </row>
    <row r="64" spans="2:20" x14ac:dyDescent="0.25">
      <c r="B64" s="4">
        <v>42</v>
      </c>
      <c r="C64" s="4">
        <f t="shared" si="0"/>
        <v>0.12706765318570715</v>
      </c>
      <c r="F64" s="4">
        <v>42</v>
      </c>
      <c r="G64" s="4">
        <f t="shared" si="5"/>
        <v>0.45284026831611596</v>
      </c>
      <c r="J64" s="4">
        <v>42</v>
      </c>
      <c r="K64" s="4">
        <f t="shared" si="2"/>
        <v>1.1485150354029077</v>
      </c>
      <c r="N64" s="4">
        <v>42</v>
      </c>
      <c r="O64" s="4">
        <f t="shared" si="3"/>
        <v>325.49993319939279</v>
      </c>
      <c r="R64" s="4">
        <v>42</v>
      </c>
      <c r="S64" s="4">
        <f t="shared" si="4"/>
        <v>1332.509863069801</v>
      </c>
    </row>
    <row r="65" spans="2:19" x14ac:dyDescent="0.25">
      <c r="B65" s="4">
        <v>43</v>
      </c>
      <c r="C65" s="4">
        <f t="shared" si="0"/>
        <v>0.12711699259161419</v>
      </c>
      <c r="F65" s="4">
        <v>43</v>
      </c>
      <c r="G65" s="4">
        <f t="shared" si="5"/>
        <v>0.45290276370702998</v>
      </c>
      <c r="J65" s="4">
        <v>43</v>
      </c>
      <c r="K65" s="4">
        <f t="shared" si="2"/>
        <v>1.1498448181047942</v>
      </c>
      <c r="N65" s="4">
        <v>43</v>
      </c>
      <c r="O65" s="4">
        <f t="shared" si="3"/>
        <v>325.49995400134293</v>
      </c>
      <c r="R65" s="4">
        <v>43</v>
      </c>
      <c r="S65" s="4">
        <f t="shared" si="4"/>
        <v>1332.6948555199949</v>
      </c>
    </row>
    <row r="66" spans="2:19" x14ac:dyDescent="0.25">
      <c r="B66" s="4">
        <v>44</v>
      </c>
      <c r="C66" s="4">
        <f t="shared" si="0"/>
        <v>0.12715901413550706</v>
      </c>
      <c r="F66" s="4">
        <v>44</v>
      </c>
      <c r="G66" s="4">
        <f t="shared" si="5"/>
        <v>0.45295440485600674</v>
      </c>
      <c r="J66" s="4">
        <v>44</v>
      </c>
      <c r="K66" s="4">
        <f t="shared" si="2"/>
        <v>1.1510065350314853</v>
      </c>
      <c r="N66" s="4">
        <v>44</v>
      </c>
      <c r="O66" s="4">
        <f t="shared" si="3"/>
        <v>325.49996832549107</v>
      </c>
      <c r="R66" s="4">
        <v>44</v>
      </c>
      <c r="S66" s="4">
        <f t="shared" si="4"/>
        <v>1332.862341088339</v>
      </c>
    </row>
    <row r="67" spans="2:19" x14ac:dyDescent="0.25">
      <c r="B67" s="4">
        <v>45</v>
      </c>
      <c r="C67" s="4">
        <f t="shared" si="0"/>
        <v>0.12719480126771116</v>
      </c>
      <c r="F67" s="4">
        <v>45</v>
      </c>
      <c r="G67" s="4">
        <f t="shared" si="5"/>
        <v>0.45299707600073302</v>
      </c>
      <c r="J67" s="4">
        <v>45</v>
      </c>
      <c r="K67" s="4">
        <f t="shared" si="2"/>
        <v>1.1520212873220619</v>
      </c>
      <c r="N67" s="4">
        <v>45</v>
      </c>
      <c r="O67" s="4">
        <f t="shared" si="3"/>
        <v>325.49997818904779</v>
      </c>
      <c r="R67" s="4">
        <v>45</v>
      </c>
      <c r="S67" s="4">
        <f t="shared" si="4"/>
        <v>1333.0143161658184</v>
      </c>
    </row>
    <row r="68" spans="2:19" x14ac:dyDescent="0.25">
      <c r="B68" s="4">
        <v>46</v>
      </c>
      <c r="C68" s="4">
        <f t="shared" si="0"/>
        <v>0.12722527755385585</v>
      </c>
      <c r="F68" s="4">
        <v>46</v>
      </c>
      <c r="G68" s="4">
        <f t="shared" si="5"/>
        <v>0.45303233458202569</v>
      </c>
      <c r="J68" s="4">
        <v>46</v>
      </c>
      <c r="K68" s="4">
        <f t="shared" si="2"/>
        <v>1.1529075602373571</v>
      </c>
      <c r="N68" s="4">
        <v>46</v>
      </c>
      <c r="O68" s="4">
        <f t="shared" si="3"/>
        <v>325.49998498105731</v>
      </c>
      <c r="R68" s="4">
        <v>46</v>
      </c>
      <c r="S68" s="4">
        <f t="shared" si="4"/>
        <v>1333.1525125441854</v>
      </c>
    </row>
    <row r="69" spans="2:19" x14ac:dyDescent="0.25">
      <c r="B69" s="4">
        <v>47</v>
      </c>
      <c r="C69" s="4">
        <f t="shared" si="0"/>
        <v>0.12725123012404246</v>
      </c>
      <c r="F69" s="4">
        <v>47</v>
      </c>
      <c r="G69" s="4">
        <f t="shared" si="5"/>
        <v>0.45306146782838302</v>
      </c>
      <c r="J69" s="4">
        <v>47</v>
      </c>
      <c r="K69" s="4">
        <f t="shared" si="2"/>
        <v>1.153681539430963</v>
      </c>
      <c r="N69" s="4">
        <v>47</v>
      </c>
      <c r="O69" s="4">
        <f t="shared" si="3"/>
        <v>325.49998965801052</v>
      </c>
      <c r="R69" s="4">
        <v>47</v>
      </c>
      <c r="S69" s="4">
        <f t="shared" si="4"/>
        <v>1333.2784371577743</v>
      </c>
    </row>
    <row r="70" spans="2:19" x14ac:dyDescent="0.25">
      <c r="B70" s="4">
        <v>48</v>
      </c>
      <c r="C70" s="4">
        <f t="shared" si="0"/>
        <v>0.12727332972294519</v>
      </c>
      <c r="F70" s="4">
        <v>48</v>
      </c>
      <c r="G70" s="4">
        <f t="shared" si="5"/>
        <v>0.45308553957290049</v>
      </c>
      <c r="J70" s="4">
        <v>48</v>
      </c>
      <c r="K70" s="4">
        <f t="shared" si="2"/>
        <v>1.1543573909216134</v>
      </c>
      <c r="N70" s="4">
        <v>48</v>
      </c>
      <c r="O70" s="4">
        <f t="shared" si="3"/>
        <v>325.49999287854359</v>
      </c>
      <c r="R70" s="4">
        <v>48</v>
      </c>
      <c r="S70" s="4">
        <f t="shared" si="4"/>
        <v>1333.393405186373</v>
      </c>
    </row>
    <row r="71" spans="2:19" x14ac:dyDescent="0.25">
      <c r="B71" s="238">
        <v>49</v>
      </c>
      <c r="C71" s="238">
        <f t="shared" si="0"/>
        <v>0.12729214784243464</v>
      </c>
      <c r="F71" s="238">
        <v>49</v>
      </c>
      <c r="G71" s="238">
        <f t="shared" si="5"/>
        <v>0.45310542897912137</v>
      </c>
      <c r="J71" s="238">
        <v>49</v>
      </c>
      <c r="K71" s="238">
        <f t="shared" si="2"/>
        <v>1.1549475084537977</v>
      </c>
      <c r="N71" s="238">
        <v>49</v>
      </c>
      <c r="O71" s="238">
        <f t="shared" si="3"/>
        <v>325.49999509619096</v>
      </c>
      <c r="R71" s="238">
        <v>49</v>
      </c>
      <c r="S71" s="238">
        <f t="shared" si="4"/>
        <v>1333.4985677350523</v>
      </c>
    </row>
    <row r="72" spans="2:19" x14ac:dyDescent="0.25">
      <c r="B72" s="238">
        <v>50</v>
      </c>
      <c r="C72" s="238">
        <f t="shared" si="0"/>
        <v>0.12730817135319969</v>
      </c>
      <c r="F72" s="238">
        <v>50</v>
      </c>
      <c r="G72" s="238">
        <f t="shared" si="5"/>
        <v>0.4531218625676548</v>
      </c>
      <c r="J72" s="238">
        <v>50</v>
      </c>
      <c r="K72" s="238">
        <f t="shared" si="2"/>
        <v>1.1554627316829178</v>
      </c>
      <c r="N72" s="238">
        <v>50</v>
      </c>
      <c r="O72" s="238">
        <f t="shared" si="3"/>
        <v>325.4999966232549</v>
      </c>
      <c r="R72" s="238">
        <v>50</v>
      </c>
      <c r="S72" s="238">
        <f t="shared" si="4"/>
        <v>1333.594935065483</v>
      </c>
    </row>
    <row r="73" spans="2:19" x14ac:dyDescent="0.25">
      <c r="B73" s="4">
        <v>51</v>
      </c>
      <c r="C73" s="4">
        <f t="shared" si="0"/>
        <v>0.12732181499463927</v>
      </c>
      <c r="F73" s="4">
        <v>51</v>
      </c>
      <c r="G73" s="4">
        <f t="shared" si="5"/>
        <v>0.45313544069803807</v>
      </c>
      <c r="J73" s="4">
        <v>51</v>
      </c>
      <c r="K73" s="4">
        <f t="shared" si="2"/>
        <v>1.1559125383518161</v>
      </c>
      <c r="N73" s="4">
        <v>51</v>
      </c>
      <c r="O73" s="4">
        <f t="shared" si="3"/>
        <v>325.49999767478556</v>
      </c>
      <c r="R73" s="4">
        <v>51</v>
      </c>
      <c r="S73" s="4">
        <f t="shared" si="4"/>
        <v>1333.6833961633295</v>
      </c>
    </row>
    <row r="74" spans="2:19" x14ac:dyDescent="0.25">
      <c r="B74" s="4">
        <v>52</v>
      </c>
      <c r="C74" s="4">
        <f t="shared" si="0"/>
        <v>0.12733343203231029</v>
      </c>
      <c r="F74" s="4">
        <v>52</v>
      </c>
      <c r="G74" s="4">
        <f t="shared" si="5"/>
        <v>0.45314665946278182</v>
      </c>
      <c r="J74" s="4">
        <v>52</v>
      </c>
      <c r="K74" s="4">
        <f t="shared" si="2"/>
        <v>1.156305213351158</v>
      </c>
      <c r="N74" s="4">
        <v>52</v>
      </c>
      <c r="O74" s="4">
        <f t="shared" si="3"/>
        <v>325.49999839886578</v>
      </c>
      <c r="R74" s="4">
        <v>52</v>
      </c>
      <c r="S74" s="4">
        <f t="shared" si="4"/>
        <v>1333.7647352761928</v>
      </c>
    </row>
    <row r="75" spans="2:19" x14ac:dyDescent="0.25">
      <c r="B75" s="4">
        <v>53</v>
      </c>
      <c r="C75" s="4">
        <f t="shared" si="0"/>
        <v>0.12734332334872664</v>
      </c>
      <c r="F75" s="4">
        <v>53</v>
      </c>
      <c r="G75" s="4">
        <f t="shared" si="5"/>
        <v>0.45315592878634514</v>
      </c>
      <c r="J75" s="4">
        <v>53</v>
      </c>
      <c r="K75" s="4">
        <f t="shared" si="2"/>
        <v>1.1566479972866119</v>
      </c>
      <c r="N75" s="4">
        <v>53</v>
      </c>
      <c r="O75" s="4">
        <f t="shared" si="3"/>
        <v>325.49999889746476</v>
      </c>
      <c r="R75" s="4">
        <v>53</v>
      </c>
      <c r="S75" s="4">
        <f t="shared" si="4"/>
        <v>1333.8396459372871</v>
      </c>
    </row>
    <row r="76" spans="2:19" x14ac:dyDescent="0.25">
      <c r="B76" s="4">
        <v>54</v>
      </c>
      <c r="C76" s="4">
        <f t="shared" si="0"/>
        <v>0.12735174519559811</v>
      </c>
      <c r="F76" s="4">
        <v>54</v>
      </c>
      <c r="G76" s="4">
        <f t="shared" si="5"/>
        <v>0.45316358738546297</v>
      </c>
      <c r="J76" s="4">
        <v>54</v>
      </c>
      <c r="K76" s="4">
        <f t="shared" si="2"/>
        <v>1.156947216917404</v>
      </c>
      <c r="N76" s="4">
        <v>54</v>
      </c>
      <c r="O76" s="4">
        <f t="shared" si="3"/>
        <v>325.49999924079827</v>
      </c>
      <c r="R76" s="4">
        <v>54</v>
      </c>
      <c r="S76" s="4">
        <f t="shared" si="4"/>
        <v>1333.9087428949083</v>
      </c>
    </row>
    <row r="77" spans="2:19" x14ac:dyDescent="0.25">
      <c r="B77" s="4">
        <v>55</v>
      </c>
      <c r="C77" s="4">
        <f t="shared" si="0"/>
        <v>0.1273589158030039</v>
      </c>
      <c r="F77" s="4">
        <v>55</v>
      </c>
      <c r="G77" s="4">
        <f t="shared" si="5"/>
        <v>0.45316991513415578</v>
      </c>
      <c r="J77" s="4">
        <v>55</v>
      </c>
      <c r="K77" s="4">
        <f t="shared" si="2"/>
        <v>1.1572083995875924</v>
      </c>
      <c r="N77" s="4">
        <v>55</v>
      </c>
      <c r="O77" s="4">
        <f t="shared" si="3"/>
        <v>325.49999947721642</v>
      </c>
      <c r="R77" s="4">
        <v>55</v>
      </c>
      <c r="S77" s="4">
        <f t="shared" si="4"/>
        <v>1333.9725722915014</v>
      </c>
    </row>
    <row r="78" spans="2:19" x14ac:dyDescent="0.25">
      <c r="B78" s="4">
        <v>56</v>
      </c>
      <c r="C78" s="4">
        <f t="shared" si="0"/>
        <v>0.12736502101288669</v>
      </c>
      <c r="F78" s="4">
        <v>56</v>
      </c>
      <c r="G78" s="4">
        <f t="shared" si="5"/>
        <v>0.45317514328300157</v>
      </c>
      <c r="J78" s="4">
        <v>56</v>
      </c>
      <c r="K78" s="4">
        <f t="shared" si="2"/>
        <v>1.1574363735455231</v>
      </c>
      <c r="N78" s="4">
        <v>56</v>
      </c>
      <c r="O78" s="4">
        <f t="shared" si="3"/>
        <v>325.49999964001313</v>
      </c>
      <c r="R78" s="4">
        <v>56</v>
      </c>
      <c r="S78" s="4">
        <f t="shared" si="4"/>
        <v>1334.0316203747795</v>
      </c>
    </row>
    <row r="79" spans="2:19" x14ac:dyDescent="0.25">
      <c r="B79" s="4">
        <v>57</v>
      </c>
      <c r="C79" s="4">
        <f t="shared" si="0"/>
        <v>0.12737021908006227</v>
      </c>
      <c r="F79" s="4">
        <v>57</v>
      </c>
      <c r="G79" s="4">
        <f t="shared" si="5"/>
        <v>0.45317946290457878</v>
      </c>
      <c r="J79" s="4">
        <v>57</v>
      </c>
      <c r="K79" s="4">
        <f t="shared" si="2"/>
        <v>1.1576353558393935</v>
      </c>
      <c r="N79" s="4">
        <v>57</v>
      </c>
      <c r="O79" s="4">
        <f t="shared" si="3"/>
        <v>325.49999975211438</v>
      </c>
      <c r="R79" s="4">
        <v>57</v>
      </c>
      <c r="S79" s="4">
        <f t="shared" si="4"/>
        <v>1334.0863209738116</v>
      </c>
    </row>
    <row r="80" spans="2:19" x14ac:dyDescent="0.25">
      <c r="B80" s="238">
        <v>58</v>
      </c>
      <c r="C80" s="238">
        <f t="shared" si="0"/>
        <v>0.12737464476315699</v>
      </c>
      <c r="F80" s="238">
        <v>58</v>
      </c>
      <c r="G80" s="238">
        <f t="shared" si="5"/>
        <v>0.45318303187267084</v>
      </c>
      <c r="J80" s="238">
        <v>58</v>
      </c>
      <c r="K80" s="238">
        <f t="shared" si="2"/>
        <v>1.1578090292877377</v>
      </c>
      <c r="N80" s="238">
        <v>58</v>
      </c>
      <c r="O80" s="238">
        <f t="shared" si="3"/>
        <v>325.49999982930683</v>
      </c>
      <c r="R80" s="238">
        <v>58</v>
      </c>
      <c r="S80" s="238">
        <f t="shared" si="4"/>
        <v>1334.1370619327799</v>
      </c>
    </row>
    <row r="81" spans="2:19" x14ac:dyDescent="0.25">
      <c r="B81" s="4">
        <v>59</v>
      </c>
      <c r="C81" s="4">
        <f t="shared" si="0"/>
        <v>0.12737841281005188</v>
      </c>
      <c r="F81" s="4">
        <v>59</v>
      </c>
      <c r="G81" s="4">
        <f t="shared" si="5"/>
        <v>0.45318598062958115</v>
      </c>
      <c r="J81" s="4">
        <v>59</v>
      </c>
      <c r="K81" s="4">
        <f t="shared" si="2"/>
        <v>1.1579606098525281</v>
      </c>
      <c r="N81" s="4">
        <v>59</v>
      </c>
      <c r="O81" s="4">
        <f t="shared" si="3"/>
        <v>325.49999988246134</v>
      </c>
      <c r="R81" s="4">
        <v>59</v>
      </c>
      <c r="S81" s="4">
        <f t="shared" si="4"/>
        <v>1334.1841906624015</v>
      </c>
    </row>
    <row r="82" spans="2:19" x14ac:dyDescent="0.25">
      <c r="B82" s="238">
        <v>60</v>
      </c>
      <c r="C82" s="238">
        <f t="shared" si="0"/>
        <v>0.12738162092713276</v>
      </c>
      <c r="F82" s="238">
        <v>60</v>
      </c>
      <c r="G82" s="238">
        <f t="shared" si="5"/>
        <v>0.45318841695185297</v>
      </c>
      <c r="J82" s="238">
        <v>60</v>
      </c>
      <c r="K82" s="238">
        <f t="shared" si="2"/>
        <v>1.1580929055885816</v>
      </c>
      <c r="N82" s="238">
        <v>60</v>
      </c>
      <c r="O82" s="238">
        <f t="shared" si="3"/>
        <v>325.49999991906333</v>
      </c>
      <c r="R82" s="238">
        <v>60</v>
      </c>
      <c r="S82" s="238">
        <f t="shared" si="4"/>
        <v>1334.2280189422841</v>
      </c>
    </row>
  </sheetData>
  <mergeCells count="6">
    <mergeCell ref="R16:S16"/>
    <mergeCell ref="C5:C8"/>
    <mergeCell ref="D5:D8"/>
    <mergeCell ref="C9:C12"/>
    <mergeCell ref="D9:D12"/>
    <mergeCell ref="J16:K1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C18"/>
  <sheetViews>
    <sheetView workbookViewId="0">
      <selection activeCell="D34" sqref="D34"/>
    </sheetView>
  </sheetViews>
  <sheetFormatPr defaultRowHeight="15" x14ac:dyDescent="0.25"/>
  <cols>
    <col min="2" max="2" width="32.42578125" customWidth="1"/>
    <col min="3" max="3" width="20.5703125" customWidth="1"/>
    <col min="5" max="5" width="15.42578125" customWidth="1"/>
    <col min="6" max="6" width="18" customWidth="1"/>
  </cols>
  <sheetData>
    <row r="2" spans="2:3" x14ac:dyDescent="0.25">
      <c r="B2" s="21"/>
      <c r="C2" s="21"/>
    </row>
    <row r="3" spans="2:3" x14ac:dyDescent="0.25">
      <c r="B3" s="21"/>
      <c r="C3" s="21"/>
    </row>
    <row r="4" spans="2:3" x14ac:dyDescent="0.25">
      <c r="B4" s="326" t="s">
        <v>168</v>
      </c>
      <c r="C4" s="326"/>
    </row>
    <row r="5" spans="2:3" x14ac:dyDescent="0.25">
      <c r="B5" s="56" t="s">
        <v>15</v>
      </c>
      <c r="C5" s="55" t="s">
        <v>169</v>
      </c>
    </row>
    <row r="6" spans="2:3" x14ac:dyDescent="0.25">
      <c r="B6" s="10" t="s">
        <v>170</v>
      </c>
      <c r="C6" s="77">
        <v>0.48099999999999998</v>
      </c>
    </row>
    <row r="7" spans="2:3" x14ac:dyDescent="0.25">
      <c r="B7" s="10" t="s">
        <v>171</v>
      </c>
      <c r="C7" s="77">
        <v>0.66500000000000004</v>
      </c>
    </row>
    <row r="8" spans="2:3" x14ac:dyDescent="0.25">
      <c r="B8" s="10" t="s">
        <v>172</v>
      </c>
      <c r="C8" s="77">
        <v>0.66</v>
      </c>
    </row>
    <row r="9" spans="2:3" x14ac:dyDescent="0.25">
      <c r="B9" s="10" t="s">
        <v>173</v>
      </c>
      <c r="C9" s="77">
        <v>0.47699999999999998</v>
      </c>
    </row>
    <row r="10" spans="2:3" x14ac:dyDescent="0.25">
      <c r="B10" s="10" t="s">
        <v>174</v>
      </c>
      <c r="C10" s="77">
        <v>0.378</v>
      </c>
    </row>
    <row r="11" spans="2:3" x14ac:dyDescent="0.25">
      <c r="B11" s="10" t="s">
        <v>175</v>
      </c>
      <c r="C11" s="77">
        <v>0.441</v>
      </c>
    </row>
    <row r="12" spans="2:3" x14ac:dyDescent="0.25">
      <c r="B12" s="10" t="s">
        <v>176</v>
      </c>
      <c r="C12" s="77">
        <v>0.50600000000000001</v>
      </c>
    </row>
    <row r="13" spans="2:3" x14ac:dyDescent="0.25">
      <c r="B13" s="10" t="s">
        <v>177</v>
      </c>
      <c r="C13" s="77">
        <v>0.66600000000000004</v>
      </c>
    </row>
    <row r="14" spans="2:3" x14ac:dyDescent="0.25">
      <c r="B14" s="10" t="s">
        <v>178</v>
      </c>
      <c r="C14" s="77">
        <v>0.89800000000000002</v>
      </c>
    </row>
    <row r="15" spans="2:3" x14ac:dyDescent="0.25">
      <c r="B15" s="10" t="s">
        <v>179</v>
      </c>
      <c r="C15" s="77">
        <v>1.1379999999999999</v>
      </c>
    </row>
    <row r="16" spans="2:3" x14ac:dyDescent="0.25">
      <c r="B16" s="10" t="s">
        <v>180</v>
      </c>
      <c r="C16" s="77">
        <v>1.2769999999999999</v>
      </c>
    </row>
    <row r="17" spans="2:3" x14ac:dyDescent="0.25">
      <c r="B17" s="10" t="s">
        <v>181</v>
      </c>
      <c r="C17" s="77">
        <v>1.712</v>
      </c>
    </row>
    <row r="18" spans="2:3" x14ac:dyDescent="0.25">
      <c r="B18" s="10" t="s">
        <v>182</v>
      </c>
      <c r="C18" s="77">
        <v>1.5029999999999999</v>
      </c>
    </row>
  </sheetData>
  <mergeCells count="1">
    <mergeCell ref="B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B2:J330"/>
  <sheetViews>
    <sheetView zoomScale="90" zoomScaleNormal="90" workbookViewId="0">
      <selection activeCell="E19" sqref="E19"/>
    </sheetView>
  </sheetViews>
  <sheetFormatPr defaultColWidth="9.140625" defaultRowHeight="15.75" x14ac:dyDescent="0.25"/>
  <cols>
    <col min="1" max="1" width="9.140625" style="23"/>
    <col min="2" max="2" width="16.140625" style="23" bestFit="1" customWidth="1"/>
    <col min="3" max="3" width="13.140625" style="23" bestFit="1" customWidth="1"/>
    <col min="4" max="4" width="15" style="23" customWidth="1"/>
    <col min="5" max="5" width="19.42578125" style="23" customWidth="1"/>
    <col min="6" max="16384" width="9.140625" style="23"/>
  </cols>
  <sheetData>
    <row r="2" spans="2:5" ht="31.5" customHeight="1" x14ac:dyDescent="0.25">
      <c r="B2" s="328" t="s">
        <v>34</v>
      </c>
      <c r="C2" s="328"/>
      <c r="D2" s="328"/>
      <c r="E2" s="328"/>
    </row>
    <row r="3" spans="2:5" ht="63" customHeight="1" x14ac:dyDescent="0.25">
      <c r="B3" s="132" t="s">
        <v>37</v>
      </c>
      <c r="C3" s="133" t="s">
        <v>38</v>
      </c>
      <c r="D3" s="327" t="s">
        <v>257</v>
      </c>
      <c r="E3" s="327"/>
    </row>
    <row r="6" spans="2:5" ht="31.5" x14ac:dyDescent="0.25">
      <c r="B6" s="27"/>
      <c r="C6" s="29" t="s">
        <v>98</v>
      </c>
      <c r="D6" s="25" t="s">
        <v>99</v>
      </c>
      <c r="E6" s="36" t="s">
        <v>68</v>
      </c>
    </row>
    <row r="7" spans="2:5" x14ac:dyDescent="0.25">
      <c r="B7" s="27" t="s">
        <v>37</v>
      </c>
      <c r="C7" s="28"/>
      <c r="D7" s="25"/>
      <c r="E7" s="36"/>
    </row>
    <row r="8" spans="2:5" x14ac:dyDescent="0.25">
      <c r="B8" s="131">
        <v>0.5</v>
      </c>
      <c r="C8" s="80">
        <f t="shared" ref="C8:C42" si="0">10*(B8+0.315)/(9+6.92*B8)</f>
        <v>0.65409309791332249</v>
      </c>
      <c r="D8" s="82">
        <v>6.9154266082630542</v>
      </c>
      <c r="E8" s="96">
        <f t="shared" ref="E8:E42" si="1">C8/D8</f>
        <v>9.4584634465177397E-2</v>
      </c>
    </row>
    <row r="9" spans="2:5" x14ac:dyDescent="0.25">
      <c r="B9" s="131">
        <v>1</v>
      </c>
      <c r="C9" s="80">
        <f t="shared" si="0"/>
        <v>0.82600502512562801</v>
      </c>
      <c r="D9" s="82">
        <v>9.3633691865002202</v>
      </c>
      <c r="E9" s="96">
        <f t="shared" si="1"/>
        <v>8.8216646024866063E-2</v>
      </c>
    </row>
    <row r="10" spans="2:5" x14ac:dyDescent="0.25">
      <c r="B10" s="131">
        <v>1.5</v>
      </c>
      <c r="C10" s="80">
        <f t="shared" si="0"/>
        <v>0.93653250773993801</v>
      </c>
      <c r="D10" s="82">
        <v>11.3</v>
      </c>
      <c r="E10" s="96">
        <f t="shared" si="1"/>
        <v>8.2878982985835223E-2</v>
      </c>
    </row>
    <row r="11" spans="2:5" x14ac:dyDescent="0.25">
      <c r="B11" s="131">
        <v>2</v>
      </c>
      <c r="C11" s="80">
        <f t="shared" si="0"/>
        <v>1.0135726795096323</v>
      </c>
      <c r="D11" s="82">
        <v>12.915540493605725</v>
      </c>
      <c r="E11" s="96">
        <f t="shared" si="1"/>
        <v>7.8476985149126016E-2</v>
      </c>
    </row>
    <row r="12" spans="2:5" x14ac:dyDescent="0.25">
      <c r="B12" s="131">
        <v>3</v>
      </c>
      <c r="C12" s="80">
        <f t="shared" si="0"/>
        <v>1.1139112903225807</v>
      </c>
      <c r="D12" s="82">
        <v>15.501380986241351</v>
      </c>
      <c r="E12" s="96">
        <f t="shared" si="1"/>
        <v>7.185884220968837E-2</v>
      </c>
    </row>
    <row r="13" spans="2:5" x14ac:dyDescent="0.25">
      <c r="B13" s="78">
        <v>4</v>
      </c>
      <c r="C13" s="65">
        <f t="shared" si="0"/>
        <v>1.1763904034896402</v>
      </c>
      <c r="D13" s="46">
        <v>17.658377373442054</v>
      </c>
      <c r="E13" s="37">
        <f t="shared" si="1"/>
        <v>6.6619394217891981E-2</v>
      </c>
    </row>
    <row r="14" spans="2:5" x14ac:dyDescent="0.25">
      <c r="B14" s="131">
        <v>4.5</v>
      </c>
      <c r="C14" s="80">
        <f t="shared" si="0"/>
        <v>1.1995515695067265</v>
      </c>
      <c r="D14" s="82">
        <v>18.68</v>
      </c>
      <c r="E14" s="96">
        <f t="shared" si="1"/>
        <v>6.4215822778732681E-2</v>
      </c>
    </row>
    <row r="15" spans="2:5" x14ac:dyDescent="0.25">
      <c r="B15" s="131">
        <v>5</v>
      </c>
      <c r="C15" s="80">
        <f t="shared" si="0"/>
        <v>1.2190366972477065</v>
      </c>
      <c r="D15" s="82">
        <v>19.714719894457716</v>
      </c>
      <c r="E15" s="96">
        <f t="shared" si="1"/>
        <v>6.1833832982349762E-2</v>
      </c>
    </row>
    <row r="16" spans="2:5" s="24" customFormat="1" x14ac:dyDescent="0.25">
      <c r="B16" s="131">
        <v>6</v>
      </c>
      <c r="C16" s="80">
        <f t="shared" si="0"/>
        <v>1.2500000000000002</v>
      </c>
      <c r="D16" s="82">
        <v>21.923103271580395</v>
      </c>
      <c r="E16" s="96">
        <f t="shared" si="1"/>
        <v>5.7017475332537176E-2</v>
      </c>
    </row>
    <row r="17" spans="2:10" x14ac:dyDescent="0.25">
      <c r="B17" s="78">
        <v>7</v>
      </c>
      <c r="C17" s="65">
        <f t="shared" si="0"/>
        <v>1.2735027855153205</v>
      </c>
      <c r="D17" s="46">
        <v>24.506577270969409</v>
      </c>
      <c r="E17" s="37">
        <f t="shared" si="1"/>
        <v>5.1965754802647084E-2</v>
      </c>
    </row>
    <row r="18" spans="2:10" s="34" customFormat="1" x14ac:dyDescent="0.25">
      <c r="B18" s="78">
        <v>8</v>
      </c>
      <c r="C18" s="65">
        <f t="shared" si="0"/>
        <v>1.2919515226848974</v>
      </c>
      <c r="D18" s="46">
        <v>27.656408486783047</v>
      </c>
      <c r="E18" s="37">
        <f t="shared" si="1"/>
        <v>4.6714363627595352E-2</v>
      </c>
    </row>
    <row r="19" spans="2:10" x14ac:dyDescent="0.25">
      <c r="B19" s="78">
        <v>9</v>
      </c>
      <c r="C19" s="65">
        <f t="shared" si="0"/>
        <v>1.3068181818181817</v>
      </c>
      <c r="D19" s="46">
        <v>31.490091534874679</v>
      </c>
      <c r="E19" s="37">
        <f t="shared" si="1"/>
        <v>4.1499345289959078E-2</v>
      </c>
    </row>
    <row r="20" spans="2:10" x14ac:dyDescent="0.25">
      <c r="B20" s="78">
        <v>10</v>
      </c>
      <c r="C20" s="65">
        <f t="shared" si="0"/>
        <v>1.3190537084398974</v>
      </c>
      <c r="D20" s="46">
        <v>35.983608273747407</v>
      </c>
      <c r="E20" s="37">
        <f t="shared" si="1"/>
        <v>3.6657071697899751E-2</v>
      </c>
    </row>
    <row r="21" spans="2:10" x14ac:dyDescent="0.25">
      <c r="B21" s="131">
        <v>10.3</v>
      </c>
      <c r="C21" s="80">
        <f t="shared" si="0"/>
        <v>1.3223130200807214</v>
      </c>
      <c r="D21" s="82">
        <v>37.43</v>
      </c>
      <c r="E21" s="96">
        <f t="shared" si="1"/>
        <v>3.5327625436300331E-2</v>
      </c>
    </row>
    <row r="22" spans="2:10" x14ac:dyDescent="0.25">
      <c r="B22" s="78">
        <v>11</v>
      </c>
      <c r="C22" s="65">
        <f t="shared" si="0"/>
        <v>1.329299812030075</v>
      </c>
      <c r="D22" s="46">
        <v>40.920969268335227</v>
      </c>
      <c r="E22" s="37">
        <f t="shared" si="1"/>
        <v>3.2484563190899082E-2</v>
      </c>
    </row>
    <row r="23" spans="2:10" x14ac:dyDescent="0.25">
      <c r="B23" s="131">
        <v>12</v>
      </c>
      <c r="C23" s="80">
        <f t="shared" si="0"/>
        <v>1.3380052151238593</v>
      </c>
      <c r="D23" s="82">
        <v>45.921623136976415</v>
      </c>
      <c r="E23" s="96">
        <f t="shared" si="1"/>
        <v>2.9136714334613491E-2</v>
      </c>
    </row>
    <row r="24" spans="2:10" x14ac:dyDescent="0.25">
      <c r="B24" s="131">
        <v>13</v>
      </c>
      <c r="C24" s="80">
        <f t="shared" si="0"/>
        <v>1.3454931285367826</v>
      </c>
      <c r="D24" s="82">
        <v>50.562975543985615</v>
      </c>
      <c r="E24" s="96">
        <f t="shared" si="1"/>
        <v>2.6610244236245841E-2</v>
      </c>
    </row>
    <row r="25" spans="2:10" x14ac:dyDescent="0.25">
      <c r="B25" s="78">
        <v>14</v>
      </c>
      <c r="C25" s="65">
        <f t="shared" si="0"/>
        <v>1.3520022667170382</v>
      </c>
      <c r="D25" s="46">
        <v>54.528714320701638</v>
      </c>
      <c r="E25" s="37">
        <f t="shared" si="1"/>
        <v>2.4794317701412504E-2</v>
      </c>
    </row>
    <row r="26" spans="2:10" x14ac:dyDescent="0.25">
      <c r="B26" s="131">
        <v>15</v>
      </c>
      <c r="C26" s="80">
        <f t="shared" si="0"/>
        <v>1.3577127659574468</v>
      </c>
      <c r="D26" s="82">
        <v>57.686469728875608</v>
      </c>
      <c r="E26" s="96">
        <f t="shared" si="1"/>
        <v>2.3536069590298199E-2</v>
      </c>
    </row>
    <row r="27" spans="2:10" s="24" customFormat="1" x14ac:dyDescent="0.25">
      <c r="B27" s="78">
        <v>16</v>
      </c>
      <c r="C27" s="65">
        <f t="shared" si="0"/>
        <v>1.3627631139325092</v>
      </c>
      <c r="D27" s="65">
        <v>60.067673083421695</v>
      </c>
      <c r="E27" s="37">
        <f t="shared" si="1"/>
        <v>2.2687130098079714E-2</v>
      </c>
    </row>
    <row r="28" spans="2:10" s="24" customFormat="1" x14ac:dyDescent="0.25">
      <c r="B28" s="78">
        <v>17</v>
      </c>
      <c r="C28" s="65">
        <f t="shared" si="0"/>
        <v>1.3672615287428933</v>
      </c>
      <c r="D28" s="65">
        <v>61.796641842834646</v>
      </c>
      <c r="E28" s="37">
        <f t="shared" si="1"/>
        <v>2.2125175219394676E-2</v>
      </c>
    </row>
    <row r="29" spans="2:10" s="24" customFormat="1" x14ac:dyDescent="0.25">
      <c r="B29" s="78">
        <v>18</v>
      </c>
      <c r="C29" s="65">
        <f t="shared" si="0"/>
        <v>1.3712938005390836</v>
      </c>
      <c r="D29" s="65">
        <v>63.023877266443805</v>
      </c>
      <c r="E29" s="37">
        <f t="shared" si="1"/>
        <v>2.1758321766553866E-2</v>
      </c>
    </row>
    <row r="30" spans="2:10" s="24" customFormat="1" x14ac:dyDescent="0.25">
      <c r="B30" s="131">
        <v>19</v>
      </c>
      <c r="C30" s="80">
        <f t="shared" si="0"/>
        <v>1.3749288154897497</v>
      </c>
      <c r="D30" s="80">
        <v>63.886643380924738</v>
      </c>
      <c r="E30" s="96">
        <f t="shared" si="1"/>
        <v>2.1521381351837867E-2</v>
      </c>
      <c r="H30" s="329" t="s">
        <v>231</v>
      </c>
      <c r="I30" s="330"/>
      <c r="J30" s="331"/>
    </row>
    <row r="31" spans="2:10" s="24" customFormat="1" ht="30" x14ac:dyDescent="0.25">
      <c r="B31" s="131">
        <v>20</v>
      </c>
      <c r="C31" s="80">
        <f t="shared" si="0"/>
        <v>1.3782225237449117</v>
      </c>
      <c r="D31" s="80">
        <v>64.494109471333417</v>
      </c>
      <c r="E31" s="96">
        <f t="shared" si="1"/>
        <v>2.1369742679484695E-2</v>
      </c>
      <c r="H31" s="115" t="s">
        <v>15</v>
      </c>
      <c r="I31" s="116" t="s">
        <v>232</v>
      </c>
      <c r="J31" s="115" t="s">
        <v>233</v>
      </c>
    </row>
    <row r="32" spans="2:10" s="24" customFormat="1" x14ac:dyDescent="0.25">
      <c r="B32" s="78">
        <v>21</v>
      </c>
      <c r="C32" s="65">
        <f t="shared" si="0"/>
        <v>1.381220839813375</v>
      </c>
      <c r="D32" s="65">
        <v>64.926599748981431</v>
      </c>
      <c r="E32" s="37">
        <f t="shared" si="1"/>
        <v>2.1273574238500664E-2</v>
      </c>
      <c r="H32" s="115" t="s">
        <v>234</v>
      </c>
      <c r="I32" s="115">
        <f>380/1000</f>
        <v>0.38</v>
      </c>
      <c r="J32" s="115"/>
    </row>
    <row r="33" spans="2:10" s="24" customFormat="1" x14ac:dyDescent="0.25">
      <c r="B33" s="78">
        <v>22</v>
      </c>
      <c r="C33" s="65">
        <f t="shared" si="0"/>
        <v>1.3839617960803769</v>
      </c>
      <c r="D33" s="65">
        <v>65.325791591348548</v>
      </c>
      <c r="E33" s="37">
        <f t="shared" si="1"/>
        <v>2.1185534263983761E-2</v>
      </c>
      <c r="H33" s="115">
        <v>1</v>
      </c>
      <c r="I33" s="115">
        <f>950/1000</f>
        <v>0.95</v>
      </c>
      <c r="J33" s="115">
        <v>0.83</v>
      </c>
    </row>
    <row r="34" spans="2:10" s="24" customFormat="1" x14ac:dyDescent="0.25">
      <c r="B34" s="78">
        <v>23</v>
      </c>
      <c r="C34" s="65">
        <f t="shared" si="0"/>
        <v>1.3864771646051379</v>
      </c>
      <c r="D34" s="65">
        <v>64.862678458374219</v>
      </c>
      <c r="E34" s="37">
        <f t="shared" si="1"/>
        <v>2.1375576796368548E-2</v>
      </c>
      <c r="H34" s="115">
        <v>5</v>
      </c>
      <c r="I34" s="115">
        <f>1180/1000</f>
        <v>1.18</v>
      </c>
      <c r="J34" s="115">
        <v>1.22</v>
      </c>
    </row>
    <row r="35" spans="2:10" s="24" customFormat="1" x14ac:dyDescent="0.25">
      <c r="B35" s="78">
        <v>24</v>
      </c>
      <c r="C35" s="65">
        <f t="shared" si="0"/>
        <v>1.3887936943111723</v>
      </c>
      <c r="D35" s="65">
        <v>65.515418464770889</v>
      </c>
      <c r="E35" s="37">
        <f t="shared" si="1"/>
        <v>2.1197967239695765E-2</v>
      </c>
      <c r="H35" s="115">
        <v>10</v>
      </c>
      <c r="I35" s="115">
        <f>1220/1000</f>
        <v>1.22</v>
      </c>
      <c r="J35" s="115">
        <v>1.32</v>
      </c>
    </row>
    <row r="36" spans="2:10" s="24" customFormat="1" x14ac:dyDescent="0.25">
      <c r="B36" s="131">
        <v>25</v>
      </c>
      <c r="C36" s="80">
        <f t="shared" si="0"/>
        <v>1.3909340659340659</v>
      </c>
      <c r="D36" s="80">
        <v>66.142514055682611</v>
      </c>
      <c r="E36" s="96">
        <f t="shared" si="1"/>
        <v>2.1029349818228814E-2</v>
      </c>
      <c r="H36" s="115">
        <v>15</v>
      </c>
      <c r="I36" s="115">
        <f>1300/1000</f>
        <v>1.3</v>
      </c>
      <c r="J36" s="115">
        <v>1.36</v>
      </c>
    </row>
    <row r="37" spans="2:10" s="24" customFormat="1" x14ac:dyDescent="0.25">
      <c r="B37" s="78">
        <v>26</v>
      </c>
      <c r="C37" s="65">
        <f t="shared" si="0"/>
        <v>1.3929176370950669</v>
      </c>
      <c r="D37" s="65">
        <v>66.744027504995557</v>
      </c>
      <c r="E37" s="37">
        <f t="shared" si="1"/>
        <v>2.0869547271339176E-2</v>
      </c>
      <c r="H37" s="115" t="s">
        <v>235</v>
      </c>
      <c r="I37" s="115">
        <f>1300/1000</f>
        <v>1.3</v>
      </c>
      <c r="J37" s="115">
        <v>1.39</v>
      </c>
    </row>
    <row r="38" spans="2:10" s="24" customFormat="1" x14ac:dyDescent="0.25">
      <c r="B38" s="78">
        <v>27</v>
      </c>
      <c r="C38" s="65">
        <f t="shared" si="0"/>
        <v>1.3947610294117649</v>
      </c>
      <c r="D38" s="65">
        <v>67.320021086595901</v>
      </c>
      <c r="E38" s="37">
        <f t="shared" si="1"/>
        <v>2.071836887302277E-2</v>
      </c>
    </row>
    <row r="39" spans="2:10" s="24" customFormat="1" x14ac:dyDescent="0.25">
      <c r="B39" s="78">
        <v>28</v>
      </c>
      <c r="C39" s="65">
        <f t="shared" si="0"/>
        <v>1.3964785953837051</v>
      </c>
      <c r="D39" s="65">
        <v>67.870557074369813</v>
      </c>
      <c r="E39" s="37">
        <f t="shared" si="1"/>
        <v>2.0575617109691618E-2</v>
      </c>
    </row>
    <row r="40" spans="2:10" s="24" customFormat="1" x14ac:dyDescent="0.25">
      <c r="B40" s="78">
        <v>29</v>
      </c>
      <c r="C40" s="65">
        <f t="shared" si="0"/>
        <v>1.3980827928271653</v>
      </c>
      <c r="D40" s="65">
        <v>68.395697742203453</v>
      </c>
      <c r="E40" s="37">
        <f t="shared" si="1"/>
        <v>2.0441092626860953E-2</v>
      </c>
    </row>
    <row r="41" spans="2:10" s="24" customFormat="1" x14ac:dyDescent="0.25">
      <c r="B41" s="78">
        <v>30</v>
      </c>
      <c r="C41" s="65">
        <f t="shared" si="0"/>
        <v>1.3995844875346262</v>
      </c>
      <c r="D41" s="65">
        <v>68.895505363983034</v>
      </c>
      <c r="E41" s="37">
        <f t="shared" si="1"/>
        <v>2.0314597884730754E-2</v>
      </c>
    </row>
    <row r="42" spans="2:10" s="24" customFormat="1" x14ac:dyDescent="0.25">
      <c r="B42" s="78">
        <v>31</v>
      </c>
      <c r="C42" s="65">
        <f t="shared" si="0"/>
        <v>1.4009931997136722</v>
      </c>
      <c r="D42" s="65">
        <v>69.370042213594715</v>
      </c>
      <c r="E42" s="37">
        <f t="shared" si="1"/>
        <v>2.0195939846770254E-2</v>
      </c>
    </row>
    <row r="43" spans="2:10" s="24" customFormat="1" x14ac:dyDescent="0.25">
      <c r="B43" s="78">
        <v>32</v>
      </c>
      <c r="C43" s="65">
        <f t="shared" ref="C43:C71" si="2">10*(B43+0.315)/(9+6.92*B43)</f>
        <v>1.4023173060232597</v>
      </c>
      <c r="D43" s="65">
        <v>69.819370564924668</v>
      </c>
      <c r="E43" s="37">
        <f t="shared" ref="E43:E71" si="3">C43/D43</f>
        <v>2.0084931941906466E-2</v>
      </c>
    </row>
    <row r="44" spans="2:10" s="24" customFormat="1" x14ac:dyDescent="0.25">
      <c r="B44" s="78">
        <v>33</v>
      </c>
      <c r="C44" s="65">
        <f t="shared" si="2"/>
        <v>1.4035642062689586</v>
      </c>
      <c r="D44" s="65">
        <v>70.243552691859051</v>
      </c>
      <c r="E44" s="37">
        <f t="shared" si="3"/>
        <v>1.9981395480180863E-2</v>
      </c>
    </row>
    <row r="45" spans="2:10" s="24" customFormat="1" x14ac:dyDescent="0.25">
      <c r="B45" s="78">
        <v>34</v>
      </c>
      <c r="C45" s="65">
        <f t="shared" si="2"/>
        <v>1.4047404617651873</v>
      </c>
      <c r="D45" s="65">
        <v>70.642650868284093</v>
      </c>
      <c r="E45" s="37">
        <f t="shared" si="3"/>
        <v>1.988516065718399E-2</v>
      </c>
    </row>
    <row r="46" spans="2:10" s="24" customFormat="1" x14ac:dyDescent="0.25">
      <c r="B46" s="78">
        <v>35</v>
      </c>
      <c r="C46" s="65">
        <f t="shared" si="2"/>
        <v>1.4058519108280254</v>
      </c>
      <c r="D46" s="65">
        <v>71.016727368085924</v>
      </c>
      <c r="E46" s="37">
        <f t="shared" si="3"/>
        <v>1.9796067249640663E-2</v>
      </c>
    </row>
    <row r="47" spans="2:10" s="24" customFormat="1" x14ac:dyDescent="0.25">
      <c r="B47" s="78">
        <v>36</v>
      </c>
      <c r="C47" s="65">
        <f t="shared" si="2"/>
        <v>1.4069037656903765</v>
      </c>
      <c r="D47" s="65">
        <v>71.365844465150758</v>
      </c>
      <c r="E47" s="37">
        <f t="shared" si="3"/>
        <v>1.9713965079995559E-2</v>
      </c>
    </row>
    <row r="48" spans="2:10" s="24" customFormat="1" x14ac:dyDescent="0.25">
      <c r="B48" s="78">
        <v>37</v>
      </c>
      <c r="C48" s="65">
        <f t="shared" si="2"/>
        <v>1.4079006942348322</v>
      </c>
      <c r="D48" s="65">
        <v>71.690064433364697</v>
      </c>
      <c r="E48" s="37">
        <f t="shared" si="3"/>
        <v>1.963871430947679E-2</v>
      </c>
    </row>
    <row r="49" spans="2:5" s="24" customFormat="1" x14ac:dyDescent="0.25">
      <c r="B49" s="78">
        <v>38</v>
      </c>
      <c r="C49" s="65">
        <f t="shared" si="2"/>
        <v>1.4088468892484189</v>
      </c>
      <c r="D49" s="65">
        <v>71.989449546614026</v>
      </c>
      <c r="E49" s="37">
        <f t="shared" si="3"/>
        <v>1.9570185605269474E-2</v>
      </c>
    </row>
    <row r="50" spans="2:5" s="24" customFormat="1" x14ac:dyDescent="0.25">
      <c r="B50" s="78">
        <v>39</v>
      </c>
      <c r="C50" s="65">
        <f t="shared" si="2"/>
        <v>1.4097461273666092</v>
      </c>
      <c r="D50" s="65">
        <v>72.264062078784832</v>
      </c>
      <c r="E50" s="37">
        <f t="shared" si="3"/>
        <v>1.9508260216947869E-2</v>
      </c>
    </row>
    <row r="51" spans="2:5" s="24" customFormat="1" x14ac:dyDescent="0.25">
      <c r="B51" s="78">
        <v>40</v>
      </c>
      <c r="C51" s="65">
        <f t="shared" si="2"/>
        <v>1.4106018194541636</v>
      </c>
      <c r="D51" s="65">
        <v>72.513964303763331</v>
      </c>
      <c r="E51" s="37">
        <f t="shared" si="3"/>
        <v>1.9452829989339809E-2</v>
      </c>
    </row>
    <row r="52" spans="2:5" s="24" customFormat="1" x14ac:dyDescent="0.25">
      <c r="B52" s="78">
        <v>41</v>
      </c>
      <c r="C52" s="65">
        <f t="shared" si="2"/>
        <v>1.4114170538398469</v>
      </c>
      <c r="D52" s="65">
        <v>72.739218495435694</v>
      </c>
      <c r="E52" s="37">
        <f t="shared" si="3"/>
        <v>1.9403797332912118E-2</v>
      </c>
    </row>
    <row r="53" spans="2:5" s="24" customFormat="1" x14ac:dyDescent="0.25">
      <c r="B53" s="78">
        <v>42</v>
      </c>
      <c r="C53" s="65">
        <f t="shared" si="2"/>
        <v>1.4121946335602724</v>
      </c>
      <c r="D53" s="65">
        <v>72.939886927688079</v>
      </c>
      <c r="E53" s="37">
        <f t="shared" si="3"/>
        <v>1.9361075168108074E-2</v>
      </c>
    </row>
    <row r="54" spans="2:5" s="24" customFormat="1" x14ac:dyDescent="0.25">
      <c r="B54" s="78">
        <v>43</v>
      </c>
      <c r="C54" s="65">
        <f t="shared" si="2"/>
        <v>1.4129371085594988</v>
      </c>
      <c r="D54" s="65">
        <v>73.116031874406701</v>
      </c>
      <c r="E54" s="37">
        <f t="shared" si="3"/>
        <v>1.9324586856498689E-2</v>
      </c>
    </row>
    <row r="55" spans="2:5" s="24" customFormat="1" x14ac:dyDescent="0.25">
      <c r="B55" s="78">
        <v>44</v>
      </c>
      <c r="C55" s="65">
        <f t="shared" si="2"/>
        <v>1.4136468036238354</v>
      </c>
      <c r="D55" s="65">
        <v>73.26771560947769</v>
      </c>
      <c r="E55" s="37">
        <f t="shared" si="3"/>
        <v>1.9294266128872868E-2</v>
      </c>
    </row>
    <row r="56" spans="2:5" s="24" customFormat="1" x14ac:dyDescent="0.25">
      <c r="B56" s="78">
        <v>45</v>
      </c>
      <c r="C56" s="65">
        <f t="shared" si="2"/>
        <v>1.4143258426966292</v>
      </c>
      <c r="D56" s="65">
        <v>73.395000406787247</v>
      </c>
      <c r="E56" s="37">
        <f t="shared" si="3"/>
        <v>1.927005701829574E-2</v>
      </c>
    </row>
    <row r="57" spans="2:5" s="24" customFormat="1" x14ac:dyDescent="0.25">
      <c r="B57" s="78">
        <v>46</v>
      </c>
      <c r="C57" s="65">
        <f t="shared" si="2"/>
        <v>1.414976170108762</v>
      </c>
      <c r="D57" s="65">
        <v>73.497948540221557</v>
      </c>
      <c r="E57" s="37">
        <f t="shared" si="3"/>
        <v>1.925191380456585E-2</v>
      </c>
    </row>
    <row r="58" spans="2:5" s="24" customFormat="1" x14ac:dyDescent="0.25">
      <c r="B58" s="78">
        <v>47</v>
      </c>
      <c r="C58" s="65">
        <f t="shared" si="2"/>
        <v>1.4155995691718524</v>
      </c>
      <c r="D58" s="65">
        <v>73.576622283666779</v>
      </c>
      <c r="E58" s="37">
        <f t="shared" si="3"/>
        <v>1.9239800975290221E-2</v>
      </c>
    </row>
    <row r="59" spans="2:5" s="24" customFormat="1" x14ac:dyDescent="0.25">
      <c r="B59" s="78">
        <v>48</v>
      </c>
      <c r="C59" s="65">
        <f t="shared" si="2"/>
        <v>1.4161976785086177</v>
      </c>
      <c r="D59" s="65">
        <v>73.6310839110091</v>
      </c>
      <c r="E59" s="37">
        <f t="shared" si="3"/>
        <v>1.9233693207888144E-2</v>
      </c>
    </row>
    <row r="60" spans="2:5" s="24" customFormat="1" x14ac:dyDescent="0.25">
      <c r="B60" s="131">
        <v>49</v>
      </c>
      <c r="C60" s="80">
        <f t="shared" si="2"/>
        <v>1.4167720064353022</v>
      </c>
      <c r="D60" s="80">
        <v>73.66139569613469</v>
      </c>
      <c r="E60" s="96">
        <f t="shared" si="3"/>
        <v>1.9233575376167437E-2</v>
      </c>
    </row>
    <row r="61" spans="2:5" s="24" customFormat="1" x14ac:dyDescent="0.25">
      <c r="B61" s="131">
        <v>50</v>
      </c>
      <c r="C61" s="80">
        <f t="shared" si="2"/>
        <v>1.4173239436619718</v>
      </c>
      <c r="D61" s="80">
        <v>73.667619912929737</v>
      </c>
      <c r="E61" s="96">
        <f t="shared" si="3"/>
        <v>1.9239442584641057E-2</v>
      </c>
    </row>
    <row r="62" spans="2:5" s="24" customFormat="1" x14ac:dyDescent="0.25">
      <c r="B62" s="78">
        <v>51</v>
      </c>
      <c r="C62" s="65">
        <f t="shared" si="2"/>
        <v>1.417854774535809</v>
      </c>
      <c r="D62" s="65">
        <v>73.649818835280385</v>
      </c>
      <c r="E62" s="37">
        <f t="shared" si="3"/>
        <v>1.9251300233431339E-2</v>
      </c>
    </row>
    <row r="63" spans="2:5" s="24" customFormat="1" x14ac:dyDescent="0.25">
      <c r="B63" s="78">
        <v>52</v>
      </c>
      <c r="C63" s="65">
        <f t="shared" si="2"/>
        <v>1.4183656870187615</v>
      </c>
      <c r="D63" s="65">
        <v>73.608054737072848</v>
      </c>
      <c r="E63" s="37">
        <f t="shared" si="3"/>
        <v>1.9269164116415629E-2</v>
      </c>
    </row>
    <row r="64" spans="2:5" s="24" customFormat="1" x14ac:dyDescent="0.25">
      <c r="B64" s="78">
        <v>53</v>
      </c>
      <c r="C64" s="65">
        <f t="shared" si="2"/>
        <v>1.4188577815626995</v>
      </c>
      <c r="D64" s="65">
        <v>73.542389892193299</v>
      </c>
      <c r="E64" s="37">
        <f t="shared" si="3"/>
        <v>1.929306055517941E-2</v>
      </c>
    </row>
    <row r="65" spans="2:5" s="24" customFormat="1" x14ac:dyDescent="0.25">
      <c r="B65" s="78">
        <v>54</v>
      </c>
      <c r="C65" s="65">
        <f t="shared" si="2"/>
        <v>1.4193320790216368</v>
      </c>
      <c r="D65" s="65">
        <v>73.452886574527895</v>
      </c>
      <c r="E65" s="37">
        <f t="shared" si="3"/>
        <v>1.9323026571345596E-2</v>
      </c>
    </row>
    <row r="66" spans="2:5" s="24" customFormat="1" x14ac:dyDescent="0.25">
      <c r="B66" s="78">
        <v>55</v>
      </c>
      <c r="C66" s="65">
        <f t="shared" si="2"/>
        <v>1.4197895277207391</v>
      </c>
      <c r="D66" s="65">
        <v>73.339607057962809</v>
      </c>
      <c r="E66" s="37">
        <f t="shared" si="3"/>
        <v>1.9359110099930459E-2</v>
      </c>
    </row>
    <row r="67" spans="2:5" s="24" customFormat="1" x14ac:dyDescent="0.25">
      <c r="B67" s="78">
        <v>56</v>
      </c>
      <c r="C67" s="65">
        <f t="shared" si="2"/>
        <v>1.4202310097851307</v>
      </c>
      <c r="D67" s="65">
        <v>73.202613616384227</v>
      </c>
      <c r="E67" s="37">
        <f t="shared" si="3"/>
        <v>1.9401370246529753E-2</v>
      </c>
    </row>
    <row r="68" spans="2:5" s="24" customFormat="1" x14ac:dyDescent="0.25">
      <c r="B68" s="78">
        <v>57</v>
      </c>
      <c r="C68" s="65">
        <f t="shared" si="2"/>
        <v>1.4206573468173707</v>
      </c>
      <c r="D68" s="65">
        <v>73.041968523678321</v>
      </c>
      <c r="E68" s="37">
        <f t="shared" si="3"/>
        <v>1.9449877591358047E-2</v>
      </c>
    </row>
    <row r="69" spans="2:5" s="24" customFormat="1" x14ac:dyDescent="0.25">
      <c r="B69" s="131">
        <v>58</v>
      </c>
      <c r="C69" s="80">
        <f t="shared" si="2"/>
        <v>1.4210693050004872</v>
      </c>
      <c r="D69" s="80">
        <v>72.857734053731278</v>
      </c>
      <c r="E69" s="96">
        <f t="shared" si="3"/>
        <v>1.9504714543448112E-2</v>
      </c>
    </row>
    <row r="70" spans="2:5" s="24" customFormat="1" x14ac:dyDescent="0.25">
      <c r="B70" s="78">
        <v>59</v>
      </c>
      <c r="C70" s="65">
        <f t="shared" si="2"/>
        <v>1.4214675996932515</v>
      </c>
      <c r="D70" s="65">
        <v>72.64997248042927</v>
      </c>
      <c r="E70" s="37">
        <f t="shared" si="3"/>
        <v>1.95659757486649E-2</v>
      </c>
    </row>
    <row r="71" spans="2:5" s="24" customFormat="1" x14ac:dyDescent="0.25">
      <c r="B71" s="131">
        <v>60</v>
      </c>
      <c r="C71" s="80">
        <f t="shared" si="2"/>
        <v>1.4218528995756718</v>
      </c>
      <c r="D71" s="80">
        <v>72.418746077658469</v>
      </c>
      <c r="E71" s="96">
        <f t="shared" si="3"/>
        <v>1.9633768555602213E-2</v>
      </c>
    </row>
    <row r="72" spans="2:5" s="24" customFormat="1" x14ac:dyDescent="0.25"/>
    <row r="73" spans="2:5" s="24" customFormat="1" x14ac:dyDescent="0.25"/>
    <row r="74" spans="2:5" s="24" customFormat="1" x14ac:dyDescent="0.25"/>
    <row r="75" spans="2:5" s="24" customFormat="1" x14ac:dyDescent="0.25"/>
    <row r="76" spans="2:5" s="24" customFormat="1" x14ac:dyDescent="0.25"/>
    <row r="77" spans="2:5" s="24" customFormat="1" x14ac:dyDescent="0.25"/>
    <row r="78" spans="2:5" s="24" customFormat="1" x14ac:dyDescent="0.25"/>
    <row r="79" spans="2:5" s="24" customFormat="1" x14ac:dyDescent="0.25"/>
    <row r="80" spans="2:5" s="24" customFormat="1" x14ac:dyDescent="0.25"/>
    <row r="81" s="24" customFormat="1" x14ac:dyDescent="0.25"/>
    <row r="82" s="24" customFormat="1" x14ac:dyDescent="0.25"/>
    <row r="83" s="24" customFormat="1" x14ac:dyDescent="0.25"/>
    <row r="84" s="24" customFormat="1" x14ac:dyDescent="0.25"/>
    <row r="85" s="24" customFormat="1" x14ac:dyDescent="0.25"/>
    <row r="86" s="24" customFormat="1" x14ac:dyDescent="0.25"/>
    <row r="87" s="24" customFormat="1" x14ac:dyDescent="0.25"/>
    <row r="88" s="24" customFormat="1" x14ac:dyDescent="0.25"/>
    <row r="89" s="24" customFormat="1" x14ac:dyDescent="0.25"/>
    <row r="90" s="24" customFormat="1" x14ac:dyDescent="0.25"/>
    <row r="91" s="24" customFormat="1" x14ac:dyDescent="0.25"/>
    <row r="92" s="24" customFormat="1" x14ac:dyDescent="0.25"/>
    <row r="93" s="24" customFormat="1" x14ac:dyDescent="0.25"/>
    <row r="94" s="24" customFormat="1" x14ac:dyDescent="0.25"/>
    <row r="95" s="24" customFormat="1" x14ac:dyDescent="0.25"/>
    <row r="96" s="24" customFormat="1" x14ac:dyDescent="0.25"/>
    <row r="97" s="24" customFormat="1" x14ac:dyDescent="0.25"/>
    <row r="98" s="24" customFormat="1" x14ac:dyDescent="0.25"/>
    <row r="99" s="24" customFormat="1" x14ac:dyDescent="0.25"/>
    <row r="100" s="24" customFormat="1" x14ac:dyDescent="0.25"/>
    <row r="101" s="24" customFormat="1" x14ac:dyDescent="0.25"/>
    <row r="102" s="24" customFormat="1" x14ac:dyDescent="0.25"/>
    <row r="103" s="24" customFormat="1" x14ac:dyDescent="0.25"/>
    <row r="104" s="24" customFormat="1" x14ac:dyDescent="0.25"/>
    <row r="105" s="24" customFormat="1" x14ac:dyDescent="0.25"/>
    <row r="106" s="24" customFormat="1" x14ac:dyDescent="0.25"/>
    <row r="107" s="24" customFormat="1" x14ac:dyDescent="0.25"/>
    <row r="108" s="24" customFormat="1" x14ac:dyDescent="0.25"/>
    <row r="109" s="24" customFormat="1" x14ac:dyDescent="0.25"/>
    <row r="110" s="24" customFormat="1" x14ac:dyDescent="0.25"/>
    <row r="111" s="24" customFormat="1" x14ac:dyDescent="0.25"/>
    <row r="112" s="24" customFormat="1" x14ac:dyDescent="0.25"/>
    <row r="113" s="24" customFormat="1" x14ac:dyDescent="0.25"/>
    <row r="114" s="24" customFormat="1" x14ac:dyDescent="0.25"/>
    <row r="115" s="24" customFormat="1" x14ac:dyDescent="0.25"/>
    <row r="116" s="24" customFormat="1" x14ac:dyDescent="0.25"/>
    <row r="117" s="24" customFormat="1" x14ac:dyDescent="0.25"/>
    <row r="118" s="24" customFormat="1" x14ac:dyDescent="0.25"/>
    <row r="119" s="24" customFormat="1" x14ac:dyDescent="0.25"/>
    <row r="120" s="24" customFormat="1" x14ac:dyDescent="0.25"/>
    <row r="121" s="24" customFormat="1" x14ac:dyDescent="0.25"/>
    <row r="122" s="24" customFormat="1" x14ac:dyDescent="0.25"/>
    <row r="123" s="24" customFormat="1" x14ac:dyDescent="0.25"/>
    <row r="124" s="24" customFormat="1" x14ac:dyDescent="0.25"/>
    <row r="125" s="24" customFormat="1" x14ac:dyDescent="0.25"/>
    <row r="126" s="24" customFormat="1" x14ac:dyDescent="0.25"/>
    <row r="127" s="24" customFormat="1" x14ac:dyDescent="0.25"/>
    <row r="128" s="24" customFormat="1" x14ac:dyDescent="0.25"/>
    <row r="129" s="24" customFormat="1" x14ac:dyDescent="0.25"/>
    <row r="130" s="24" customFormat="1" x14ac:dyDescent="0.25"/>
    <row r="131" s="24" customFormat="1" x14ac:dyDescent="0.25"/>
    <row r="132" s="24" customFormat="1" x14ac:dyDescent="0.25"/>
    <row r="133" s="24" customFormat="1" x14ac:dyDescent="0.25"/>
    <row r="134" s="24" customFormat="1" x14ac:dyDescent="0.25"/>
    <row r="135" s="24" customFormat="1" x14ac:dyDescent="0.25"/>
    <row r="136" s="24" customFormat="1" x14ac:dyDescent="0.25"/>
    <row r="137" s="24" customFormat="1" x14ac:dyDescent="0.25"/>
    <row r="138" s="24" customFormat="1" x14ac:dyDescent="0.25"/>
    <row r="139" s="24" customFormat="1" x14ac:dyDescent="0.25"/>
    <row r="140" s="24" customFormat="1" x14ac:dyDescent="0.25"/>
    <row r="141" s="24" customFormat="1" x14ac:dyDescent="0.25"/>
    <row r="142" s="24" customFormat="1" x14ac:dyDescent="0.25"/>
    <row r="143" s="24" customFormat="1" x14ac:dyDescent="0.25"/>
    <row r="144" s="24" customFormat="1" x14ac:dyDescent="0.25"/>
    <row r="145" s="24" customFormat="1" x14ac:dyDescent="0.25"/>
    <row r="146" s="24" customFormat="1" x14ac:dyDescent="0.25"/>
    <row r="147" s="24" customFormat="1" x14ac:dyDescent="0.25"/>
    <row r="148" s="24" customFormat="1" x14ac:dyDescent="0.25"/>
    <row r="149" s="24" customFormat="1" x14ac:dyDescent="0.25"/>
    <row r="150" s="24" customFormat="1" x14ac:dyDescent="0.25"/>
    <row r="151" s="24" customFormat="1" x14ac:dyDescent="0.25"/>
    <row r="152" s="24" customFormat="1" x14ac:dyDescent="0.25"/>
    <row r="153" s="24" customFormat="1" x14ac:dyDescent="0.25"/>
    <row r="154" s="24" customFormat="1" x14ac:dyDescent="0.25"/>
    <row r="155" s="24" customFormat="1" x14ac:dyDescent="0.25"/>
    <row r="156" s="24" customFormat="1" x14ac:dyDescent="0.25"/>
    <row r="157" s="24" customFormat="1" x14ac:dyDescent="0.25"/>
    <row r="158" s="24" customFormat="1" x14ac:dyDescent="0.25"/>
    <row r="159" s="24" customFormat="1" x14ac:dyDescent="0.25"/>
    <row r="160" s="24" customFormat="1" x14ac:dyDescent="0.25"/>
    <row r="161" s="24" customFormat="1" x14ac:dyDescent="0.25"/>
    <row r="162" s="24" customFormat="1" x14ac:dyDescent="0.25"/>
    <row r="163" s="24" customFormat="1" x14ac:dyDescent="0.25"/>
    <row r="164" s="24" customFormat="1" x14ac:dyDescent="0.25"/>
    <row r="165" s="24" customFormat="1" x14ac:dyDescent="0.25"/>
    <row r="166" s="24" customFormat="1" x14ac:dyDescent="0.25"/>
    <row r="167" s="24" customFormat="1" x14ac:dyDescent="0.25"/>
    <row r="168" s="24" customFormat="1" x14ac:dyDescent="0.25"/>
    <row r="169" s="24" customFormat="1" x14ac:dyDescent="0.25"/>
    <row r="170" s="24" customFormat="1" x14ac:dyDescent="0.25"/>
    <row r="171" s="24" customFormat="1" x14ac:dyDescent="0.25"/>
    <row r="172" s="24" customFormat="1" x14ac:dyDescent="0.25"/>
    <row r="173" s="24" customFormat="1" x14ac:dyDescent="0.25"/>
    <row r="174" s="24" customFormat="1" x14ac:dyDescent="0.25"/>
    <row r="175" s="24" customFormat="1" x14ac:dyDescent="0.25"/>
    <row r="176" s="24" customFormat="1" x14ac:dyDescent="0.25"/>
    <row r="177" s="24" customFormat="1" x14ac:dyDescent="0.25"/>
    <row r="178" s="24" customFormat="1" x14ac:dyDescent="0.25"/>
    <row r="179" s="24" customFormat="1" x14ac:dyDescent="0.25"/>
    <row r="180" s="24" customFormat="1" x14ac:dyDescent="0.25"/>
    <row r="181" s="24" customFormat="1" x14ac:dyDescent="0.25"/>
    <row r="182" s="24" customFormat="1" x14ac:dyDescent="0.25"/>
    <row r="183" s="24" customFormat="1" x14ac:dyDescent="0.25"/>
    <row r="184" s="24" customFormat="1" x14ac:dyDescent="0.25"/>
    <row r="185" s="24" customFormat="1" x14ac:dyDescent="0.25"/>
    <row r="186" s="24" customFormat="1" x14ac:dyDescent="0.25"/>
    <row r="187" s="24" customFormat="1" x14ac:dyDescent="0.25"/>
    <row r="188" s="24" customFormat="1" x14ac:dyDescent="0.25"/>
    <row r="189" s="24" customFormat="1" x14ac:dyDescent="0.25"/>
    <row r="190" s="24" customFormat="1" x14ac:dyDescent="0.25"/>
    <row r="191" s="24" customFormat="1" x14ac:dyDescent="0.25"/>
    <row r="192" s="24" customFormat="1" x14ac:dyDescent="0.25"/>
    <row r="193" s="24" customFormat="1" x14ac:dyDescent="0.25"/>
    <row r="194" s="24" customFormat="1" x14ac:dyDescent="0.25"/>
    <row r="195" s="24" customFormat="1" x14ac:dyDescent="0.25"/>
    <row r="196" s="24" customFormat="1" x14ac:dyDescent="0.25"/>
    <row r="197" s="24" customFormat="1" x14ac:dyDescent="0.25"/>
    <row r="198" s="24" customFormat="1" x14ac:dyDescent="0.25"/>
    <row r="199" s="24" customFormat="1" x14ac:dyDescent="0.25"/>
    <row r="200" s="24" customFormat="1" x14ac:dyDescent="0.25"/>
    <row r="201" s="24" customFormat="1" x14ac:dyDescent="0.25"/>
    <row r="202" s="24" customFormat="1" x14ac:dyDescent="0.25"/>
    <row r="203" s="24" customFormat="1" x14ac:dyDescent="0.25"/>
    <row r="204" s="24" customFormat="1" x14ac:dyDescent="0.25"/>
    <row r="205" s="24" customFormat="1" x14ac:dyDescent="0.25"/>
    <row r="206" s="24" customFormat="1" x14ac:dyDescent="0.25"/>
    <row r="207" s="24" customFormat="1" x14ac:dyDescent="0.25"/>
    <row r="208" s="24" customFormat="1" x14ac:dyDescent="0.25"/>
    <row r="209" s="24" customFormat="1" x14ac:dyDescent="0.25"/>
    <row r="210" s="24" customFormat="1" x14ac:dyDescent="0.25"/>
    <row r="211" s="24" customFormat="1" x14ac:dyDescent="0.25"/>
    <row r="212" s="24" customFormat="1" x14ac:dyDescent="0.25"/>
    <row r="213" s="24" customFormat="1" x14ac:dyDescent="0.25"/>
    <row r="214" s="24" customFormat="1" x14ac:dyDescent="0.25"/>
    <row r="215" s="24" customFormat="1" x14ac:dyDescent="0.25"/>
    <row r="216" s="24" customFormat="1" x14ac:dyDescent="0.25"/>
    <row r="217" s="24" customFormat="1" x14ac:dyDescent="0.25"/>
    <row r="218" s="24" customFormat="1" x14ac:dyDescent="0.25"/>
    <row r="219" s="24" customFormat="1" x14ac:dyDescent="0.25"/>
    <row r="220" s="24" customFormat="1" x14ac:dyDescent="0.25"/>
    <row r="221" s="24" customFormat="1" x14ac:dyDescent="0.25"/>
    <row r="222" s="24" customFormat="1" x14ac:dyDescent="0.25"/>
    <row r="223" s="24" customFormat="1" x14ac:dyDescent="0.25"/>
    <row r="224" s="24" customFormat="1" x14ac:dyDescent="0.25"/>
    <row r="225" s="24" customFormat="1" x14ac:dyDescent="0.25"/>
    <row r="226" s="24" customFormat="1" x14ac:dyDescent="0.25"/>
    <row r="227" s="24" customFormat="1" x14ac:dyDescent="0.25"/>
    <row r="228" s="24" customFormat="1" x14ac:dyDescent="0.25"/>
    <row r="229" s="24" customFormat="1" x14ac:dyDescent="0.25"/>
    <row r="230" s="24" customFormat="1" x14ac:dyDescent="0.25"/>
    <row r="231" s="24" customFormat="1" x14ac:dyDescent="0.25"/>
    <row r="232" s="24" customFormat="1" x14ac:dyDescent="0.25"/>
    <row r="233" s="24" customFormat="1" x14ac:dyDescent="0.25"/>
    <row r="234" s="24" customFormat="1" x14ac:dyDescent="0.25"/>
    <row r="235" s="24" customFormat="1" x14ac:dyDescent="0.25"/>
    <row r="236" s="24" customFormat="1" x14ac:dyDescent="0.25"/>
    <row r="237" s="24" customFormat="1" x14ac:dyDescent="0.25"/>
    <row r="238" s="24" customFormat="1" x14ac:dyDescent="0.25"/>
    <row r="239" s="24" customFormat="1" x14ac:dyDescent="0.25"/>
    <row r="240" s="24" customFormat="1" x14ac:dyDescent="0.25"/>
    <row r="241" s="24" customFormat="1" x14ac:dyDescent="0.25"/>
    <row r="242" s="24" customFormat="1" x14ac:dyDescent="0.25"/>
    <row r="243" s="24" customFormat="1" x14ac:dyDescent="0.25"/>
    <row r="244" s="24" customFormat="1" x14ac:dyDescent="0.25"/>
    <row r="245" s="24" customFormat="1" x14ac:dyDescent="0.25"/>
    <row r="246" s="24" customFormat="1" x14ac:dyDescent="0.25"/>
    <row r="247" s="24" customFormat="1" x14ac:dyDescent="0.25"/>
    <row r="248" s="24" customFormat="1" x14ac:dyDescent="0.25"/>
    <row r="249" s="24" customFormat="1" x14ac:dyDescent="0.25"/>
    <row r="250" s="24" customFormat="1" x14ac:dyDescent="0.25"/>
    <row r="251" s="24" customFormat="1" x14ac:dyDescent="0.25"/>
    <row r="252" s="24" customFormat="1" x14ac:dyDescent="0.25"/>
    <row r="253" s="24" customFormat="1" x14ac:dyDescent="0.25"/>
    <row r="254" s="24" customFormat="1" x14ac:dyDescent="0.25"/>
    <row r="255" s="24" customFormat="1" x14ac:dyDescent="0.25"/>
    <row r="256" s="24" customFormat="1" x14ac:dyDescent="0.25"/>
    <row r="257" s="24" customFormat="1" x14ac:dyDescent="0.25"/>
    <row r="258" s="24" customFormat="1" x14ac:dyDescent="0.25"/>
    <row r="259" s="24" customFormat="1" x14ac:dyDescent="0.25"/>
    <row r="260" s="24" customFormat="1" x14ac:dyDescent="0.25"/>
    <row r="261" s="24" customFormat="1" x14ac:dyDescent="0.25"/>
    <row r="262" s="24" customFormat="1" x14ac:dyDescent="0.25"/>
    <row r="263" s="24" customFormat="1" x14ac:dyDescent="0.25"/>
    <row r="264" s="24" customFormat="1" x14ac:dyDescent="0.25"/>
    <row r="265" s="24" customFormat="1" x14ac:dyDescent="0.25"/>
    <row r="266" s="24" customFormat="1" x14ac:dyDescent="0.25"/>
    <row r="267" s="24" customFormat="1" x14ac:dyDescent="0.25"/>
    <row r="268" s="24" customFormat="1" x14ac:dyDescent="0.25"/>
    <row r="269" s="24" customFormat="1" x14ac:dyDescent="0.25"/>
    <row r="270" s="24" customFormat="1" x14ac:dyDescent="0.25"/>
    <row r="271" s="24" customFormat="1" x14ac:dyDescent="0.25"/>
    <row r="272" s="24" customFormat="1" x14ac:dyDescent="0.25"/>
    <row r="273" s="24" customFormat="1" x14ac:dyDescent="0.25"/>
    <row r="274" s="24" customFormat="1" x14ac:dyDescent="0.25"/>
    <row r="275" s="24" customFormat="1" x14ac:dyDescent="0.25"/>
    <row r="276" s="24" customFormat="1" x14ac:dyDescent="0.25"/>
    <row r="277" s="24" customFormat="1" x14ac:dyDescent="0.25"/>
    <row r="278" s="24" customFormat="1" x14ac:dyDescent="0.25"/>
    <row r="279" s="24" customFormat="1" x14ac:dyDescent="0.25"/>
    <row r="280" s="24" customFormat="1" x14ac:dyDescent="0.25"/>
    <row r="281" s="24" customFormat="1" x14ac:dyDescent="0.25"/>
    <row r="282" s="24" customFormat="1" x14ac:dyDescent="0.25"/>
    <row r="283" s="24" customFormat="1" x14ac:dyDescent="0.25"/>
    <row r="284" s="24" customFormat="1" x14ac:dyDescent="0.25"/>
    <row r="285" s="24" customFormat="1" x14ac:dyDescent="0.25"/>
    <row r="286" s="24" customFormat="1" x14ac:dyDescent="0.25"/>
    <row r="287" s="24" customFormat="1" x14ac:dyDescent="0.25"/>
    <row r="288" s="24" customFormat="1" x14ac:dyDescent="0.25"/>
    <row r="289" s="24" customFormat="1" x14ac:dyDescent="0.25"/>
    <row r="290" s="24" customFormat="1" x14ac:dyDescent="0.25"/>
    <row r="291" s="24" customFormat="1" x14ac:dyDescent="0.25"/>
    <row r="292" s="24" customFormat="1" x14ac:dyDescent="0.25"/>
    <row r="293" s="24" customFormat="1" x14ac:dyDescent="0.25"/>
    <row r="294" s="24" customFormat="1" x14ac:dyDescent="0.25"/>
    <row r="295" s="24" customFormat="1" x14ac:dyDescent="0.25"/>
    <row r="296" s="24" customFormat="1" x14ac:dyDescent="0.25"/>
    <row r="297" s="24" customFormat="1" x14ac:dyDescent="0.25"/>
    <row r="298" s="24" customFormat="1" x14ac:dyDescent="0.25"/>
    <row r="299" s="24" customFormat="1" x14ac:dyDescent="0.25"/>
    <row r="300" s="24" customFormat="1" x14ac:dyDescent="0.25"/>
    <row r="301" s="24" customFormat="1" x14ac:dyDescent="0.25"/>
    <row r="302" s="24" customFormat="1" x14ac:dyDescent="0.25"/>
    <row r="303" s="24" customFormat="1" x14ac:dyDescent="0.25"/>
    <row r="304" s="24" customFormat="1" x14ac:dyDescent="0.25"/>
    <row r="305" s="24" customFormat="1" x14ac:dyDescent="0.25"/>
    <row r="306" s="24" customFormat="1" x14ac:dyDescent="0.25"/>
    <row r="307" s="24" customFormat="1" x14ac:dyDescent="0.25"/>
    <row r="308" s="24" customFormat="1" x14ac:dyDescent="0.25"/>
    <row r="309" s="24" customFormat="1" x14ac:dyDescent="0.25"/>
    <row r="310" s="24" customFormat="1" x14ac:dyDescent="0.25"/>
    <row r="311" s="24" customFormat="1" x14ac:dyDescent="0.25"/>
    <row r="312" s="24" customFormat="1" x14ac:dyDescent="0.25"/>
    <row r="313" s="24" customFormat="1" x14ac:dyDescent="0.25"/>
    <row r="314" s="24" customFormat="1" x14ac:dyDescent="0.25"/>
    <row r="315" s="24" customFormat="1" x14ac:dyDescent="0.25"/>
    <row r="316" s="24" customFormat="1" x14ac:dyDescent="0.25"/>
    <row r="317" s="24" customFormat="1" x14ac:dyDescent="0.25"/>
    <row r="318" s="24" customFormat="1" x14ac:dyDescent="0.25"/>
    <row r="319" s="24" customFormat="1" x14ac:dyDescent="0.25"/>
    <row r="320" s="24" customFormat="1" x14ac:dyDescent="0.25"/>
    <row r="321" s="24" customFormat="1" x14ac:dyDescent="0.25"/>
    <row r="322" s="24" customFormat="1" x14ac:dyDescent="0.25"/>
    <row r="323" s="24" customFormat="1" x14ac:dyDescent="0.25"/>
    <row r="324" s="24" customFormat="1" x14ac:dyDescent="0.25"/>
    <row r="325" s="24" customFormat="1" x14ac:dyDescent="0.25"/>
    <row r="326" s="24" customFormat="1" x14ac:dyDescent="0.25"/>
    <row r="327" s="24" customFormat="1" x14ac:dyDescent="0.25"/>
    <row r="328" s="24" customFormat="1" x14ac:dyDescent="0.25"/>
    <row r="329" s="24" customFormat="1" x14ac:dyDescent="0.25"/>
    <row r="330" s="24" customFormat="1" x14ac:dyDescent="0.25"/>
  </sheetData>
  <mergeCells count="3">
    <mergeCell ref="D3:E3"/>
    <mergeCell ref="B2:E2"/>
    <mergeCell ref="H30:J30"/>
  </mergeCells>
  <pageMargins left="0.7" right="0.7" top="0.75" bottom="0.75" header="0.3" footer="0.3"/>
  <pageSetup scale="4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O329"/>
  <sheetViews>
    <sheetView topLeftCell="A7" zoomScale="90" zoomScaleNormal="90" workbookViewId="0">
      <selection activeCell="G21" sqref="G21"/>
    </sheetView>
  </sheetViews>
  <sheetFormatPr defaultColWidth="9.140625" defaultRowHeight="15.75" x14ac:dyDescent="0.25"/>
  <cols>
    <col min="1" max="1" width="9.140625" style="3"/>
    <col min="2" max="2" width="20.85546875" style="2" customWidth="1"/>
    <col min="3" max="3" width="52.42578125" style="2" customWidth="1"/>
    <col min="4" max="4" width="37.85546875" style="2" customWidth="1"/>
    <col min="5" max="5" width="15.5703125" style="6" bestFit="1" customWidth="1"/>
    <col min="6" max="6" width="14.140625" style="3" bestFit="1" customWidth="1"/>
    <col min="7" max="8" width="13" style="3" customWidth="1"/>
    <col min="9" max="9" width="16" style="3" customWidth="1"/>
    <col min="10" max="10" width="13.42578125" style="3" customWidth="1"/>
    <col min="11" max="21" width="9.140625" style="3"/>
    <col min="22" max="22" width="15" style="3" customWidth="1"/>
    <col min="23" max="16384" width="9.140625" style="3"/>
  </cols>
  <sheetData>
    <row r="1" spans="2:10" x14ac:dyDescent="0.25">
      <c r="E1" s="2"/>
    </row>
    <row r="2" spans="2:10" x14ac:dyDescent="0.25">
      <c r="E2" s="2"/>
    </row>
    <row r="3" spans="2:10" ht="31.5" customHeight="1" x14ac:dyDescent="0.25">
      <c r="B3" s="332" t="s">
        <v>150</v>
      </c>
      <c r="C3" s="332"/>
      <c r="D3" s="332"/>
      <c r="E3" s="8" t="s">
        <v>1</v>
      </c>
      <c r="F3" s="11" t="s">
        <v>76</v>
      </c>
      <c r="G3" s="11" t="s">
        <v>35</v>
      </c>
    </row>
    <row r="4" spans="2:10" ht="73.5" customHeight="1" x14ac:dyDescent="0.25">
      <c r="B4" s="66" t="s">
        <v>24</v>
      </c>
      <c r="C4" s="66" t="s">
        <v>23</v>
      </c>
      <c r="D4" s="66" t="s">
        <v>25</v>
      </c>
      <c r="E4" s="66">
        <v>66.142514055682611</v>
      </c>
      <c r="F4" s="66">
        <v>25.156301746671314</v>
      </c>
      <c r="G4" s="67">
        <f>E4 * ((1.5334 * EXP(-0.103 * 25) + 0.67) * F4 + 0.6276 * 25 + 1.0301) / 100</f>
        <v>24.150239799576294</v>
      </c>
    </row>
    <row r="5" spans="2:10" ht="78.75" customHeight="1" x14ac:dyDescent="0.25">
      <c r="B5" s="66" t="s">
        <v>26</v>
      </c>
      <c r="C5" s="66" t="s">
        <v>29</v>
      </c>
      <c r="D5" s="66" t="s">
        <v>28</v>
      </c>
      <c r="E5" s="66"/>
      <c r="F5" s="66">
        <v>25.156301746671314</v>
      </c>
      <c r="G5" s="67">
        <f>(1.5334 * EXP(-0.103 * 25) + 0.67) * F5 + 0.6276 * 25 + 1.0301</f>
        <v>36.512430989915529</v>
      </c>
    </row>
    <row r="6" spans="2:10" ht="85.5" customHeight="1" x14ac:dyDescent="0.25">
      <c r="B6" s="66" t="s">
        <v>27</v>
      </c>
      <c r="C6" s="66" t="s">
        <v>30</v>
      </c>
      <c r="D6" s="66" t="s">
        <v>97</v>
      </c>
      <c r="E6" s="66"/>
      <c r="F6" s="66">
        <v>25.156301746671314</v>
      </c>
      <c r="G6" s="67">
        <f>1.9224 * F6 - 0.018517 * (F6^2) + 0.05537 * 25 - 0.794894</f>
        <v>37.231541130965056</v>
      </c>
    </row>
    <row r="7" spans="2:10" x14ac:dyDescent="0.25">
      <c r="E7" s="2"/>
    </row>
    <row r="8" spans="2:10" x14ac:dyDescent="0.25">
      <c r="E8" s="2"/>
    </row>
    <row r="9" spans="2:10" ht="31.5" x14ac:dyDescent="0.25">
      <c r="B9" s="138" t="s">
        <v>15</v>
      </c>
      <c r="C9" s="138" t="s">
        <v>78</v>
      </c>
      <c r="D9" s="25" t="s">
        <v>21</v>
      </c>
      <c r="E9" s="25" t="s">
        <v>33</v>
      </c>
      <c r="F9" s="29" t="s">
        <v>152</v>
      </c>
      <c r="G9" s="32" t="s">
        <v>69</v>
      </c>
      <c r="H9" s="32" t="s">
        <v>251</v>
      </c>
      <c r="I9" s="4" t="s">
        <v>250</v>
      </c>
      <c r="J9" s="4"/>
    </row>
    <row r="10" spans="2:10" s="23" customFormat="1" ht="31.5" x14ac:dyDescent="0.25">
      <c r="B10" s="97">
        <v>0.5</v>
      </c>
      <c r="C10" s="130" t="s">
        <v>75</v>
      </c>
      <c r="D10" s="82">
        <v>6.9154266082630542</v>
      </c>
      <c r="E10" s="82">
        <v>16.964168667695088</v>
      </c>
      <c r="F10" s="80">
        <f t="shared" ref="F10:F38" si="0">D10 * ((1.5334 * EXP(-0.103 * B10) + 0.67) * E10 + 0.6276 * B10 + 1.0301) / 100</f>
        <v>2.5875450913980989</v>
      </c>
      <c r="G10" s="83">
        <f>F10/D10</f>
        <v>0.37416998805342133</v>
      </c>
      <c r="H10" s="83">
        <f>G10*100</f>
        <v>37.416998805342132</v>
      </c>
      <c r="I10" s="81"/>
      <c r="J10" s="81"/>
    </row>
    <row r="11" spans="2:10" s="23" customFormat="1" x14ac:dyDescent="0.25">
      <c r="B11" s="97">
        <v>1</v>
      </c>
      <c r="C11" s="135"/>
      <c r="D11" s="82">
        <v>9.3633691865002202</v>
      </c>
      <c r="E11" s="82">
        <v>17.506167771808332</v>
      </c>
      <c r="F11" s="80">
        <f t="shared" si="0"/>
        <v>3.520953660162184</v>
      </c>
      <c r="G11" s="83">
        <f>F11/D11</f>
        <v>0.3760349068835791</v>
      </c>
      <c r="H11" s="83">
        <f t="shared" ref="H11:H38" si="1">G11*100</f>
        <v>37.603490688357908</v>
      </c>
      <c r="I11" s="81"/>
      <c r="J11" s="81"/>
    </row>
    <row r="12" spans="2:10" s="23" customFormat="1" x14ac:dyDescent="0.25">
      <c r="B12" s="97">
        <v>1.5</v>
      </c>
      <c r="C12" s="135"/>
      <c r="D12" s="82">
        <v>11.3</v>
      </c>
      <c r="E12" s="82">
        <v>17.559999999999999</v>
      </c>
      <c r="F12" s="80">
        <f t="shared" si="0"/>
        <v>4.1593604681948086</v>
      </c>
      <c r="G12" s="83">
        <f>F12/D12</f>
        <v>0.36808499718538129</v>
      </c>
      <c r="H12" s="83">
        <f t="shared" si="1"/>
        <v>36.80849971853813</v>
      </c>
      <c r="I12" s="81"/>
      <c r="J12" s="81"/>
    </row>
    <row r="13" spans="2:10" s="23" customFormat="1" x14ac:dyDescent="0.25">
      <c r="B13" s="97">
        <v>2</v>
      </c>
      <c r="C13" s="137"/>
      <c r="D13" s="82">
        <v>12.915540493605725</v>
      </c>
      <c r="E13" s="82">
        <v>17.506342188200389</v>
      </c>
      <c r="F13" s="80">
        <f t="shared" si="0"/>
        <v>4.6316765343848241</v>
      </c>
      <c r="G13" s="83">
        <f t="shared" ref="G13:G38" si="2">F13/D13</f>
        <v>0.35861267568925143</v>
      </c>
      <c r="H13" s="83">
        <f t="shared" si="1"/>
        <v>35.861267568925143</v>
      </c>
      <c r="I13" s="81"/>
      <c r="J13" s="81"/>
    </row>
    <row r="14" spans="2:10" s="23" customFormat="1" x14ac:dyDescent="0.25">
      <c r="B14" s="97">
        <v>3</v>
      </c>
      <c r="C14" s="137"/>
      <c r="D14" s="82">
        <v>15.501380986241351</v>
      </c>
      <c r="E14" s="82">
        <v>17.342773126523671</v>
      </c>
      <c r="F14" s="80">
        <f t="shared" si="0"/>
        <v>5.2792940044691417</v>
      </c>
      <c r="G14" s="83">
        <f t="shared" si="2"/>
        <v>0.34056926987053054</v>
      </c>
      <c r="H14" s="83">
        <f t="shared" si="1"/>
        <v>34.056926987053053</v>
      </c>
      <c r="I14" s="81"/>
      <c r="J14" s="81"/>
    </row>
    <row r="15" spans="2:10" s="23" customFormat="1" x14ac:dyDescent="0.25">
      <c r="B15" s="134">
        <v>4</v>
      </c>
      <c r="C15" s="136"/>
      <c r="D15" s="46">
        <v>17.658377373442054</v>
      </c>
      <c r="E15" s="46">
        <v>16.711565217476199</v>
      </c>
      <c r="F15" s="65">
        <f t="shared" si="0"/>
        <v>5.5994094442037019</v>
      </c>
      <c r="G15" s="33">
        <f t="shared" si="2"/>
        <v>0.31709648773420901</v>
      </c>
      <c r="H15" s="33">
        <f t="shared" si="1"/>
        <v>31.709648773420902</v>
      </c>
      <c r="I15" s="25"/>
      <c r="J15" s="25"/>
    </row>
    <row r="16" spans="2:10" s="23" customFormat="1" x14ac:dyDescent="0.25">
      <c r="B16" s="97">
        <v>4.5</v>
      </c>
      <c r="C16" s="137"/>
      <c r="D16" s="82">
        <v>18.68</v>
      </c>
      <c r="E16" s="82">
        <v>16.41</v>
      </c>
      <c r="F16" s="80">
        <f t="shared" si="0"/>
        <v>5.7307529944970614</v>
      </c>
      <c r="G16" s="83">
        <f t="shared" si="2"/>
        <v>0.30678549221076346</v>
      </c>
      <c r="H16" s="83">
        <f t="shared" si="1"/>
        <v>30.678549221076345</v>
      </c>
      <c r="I16" s="81"/>
      <c r="J16" s="81"/>
    </row>
    <row r="17" spans="2:15" s="23" customFormat="1" x14ac:dyDescent="0.25">
      <c r="B17" s="97">
        <v>5</v>
      </c>
      <c r="C17" s="137"/>
      <c r="D17" s="82">
        <v>19.714719894457716</v>
      </c>
      <c r="E17" s="82">
        <v>16.199183356103784</v>
      </c>
      <c r="F17" s="80">
        <f t="shared" si="0"/>
        <v>5.8874787025245778</v>
      </c>
      <c r="G17" s="83">
        <f t="shared" si="2"/>
        <v>0.29863364704358242</v>
      </c>
      <c r="H17" s="83">
        <f t="shared" si="1"/>
        <v>29.86336470435824</v>
      </c>
      <c r="I17" s="81"/>
      <c r="J17" s="81"/>
    </row>
    <row r="18" spans="2:15" s="23" customFormat="1" x14ac:dyDescent="0.25">
      <c r="B18" s="97">
        <v>6</v>
      </c>
      <c r="C18" s="137"/>
      <c r="D18" s="82">
        <v>21.923103271580395</v>
      </c>
      <c r="E18" s="82">
        <v>16.030757685851551</v>
      </c>
      <c r="F18" s="80">
        <f t="shared" si="0"/>
        <v>6.3108495487671128</v>
      </c>
      <c r="G18" s="83">
        <f t="shared" si="2"/>
        <v>0.28786296677934575</v>
      </c>
      <c r="H18" s="83">
        <f t="shared" si="1"/>
        <v>28.786296677934576</v>
      </c>
      <c r="I18" s="81"/>
      <c r="J18" s="81"/>
    </row>
    <row r="19" spans="2:15" s="23" customFormat="1" x14ac:dyDescent="0.25">
      <c r="B19" s="134">
        <v>7</v>
      </c>
      <c r="C19" s="136"/>
      <c r="D19" s="46">
        <v>24.506577270969409</v>
      </c>
      <c r="E19" s="46">
        <v>16.234110483500071</v>
      </c>
      <c r="F19" s="65">
        <f t="shared" si="0"/>
        <v>6.9610821193543293</v>
      </c>
      <c r="G19" s="33">
        <f t="shared" si="2"/>
        <v>0.28404954483792627</v>
      </c>
      <c r="H19" s="33">
        <f t="shared" si="1"/>
        <v>28.404954483792626</v>
      </c>
      <c r="I19" s="25"/>
      <c r="J19" s="25"/>
    </row>
    <row r="20" spans="2:15" s="23" customFormat="1" x14ac:dyDescent="0.25">
      <c r="B20" s="134">
        <v>8</v>
      </c>
      <c r="C20" s="136"/>
      <c r="D20" s="46">
        <v>27.656408486783047</v>
      </c>
      <c r="E20" s="46">
        <v>16.777293346295849</v>
      </c>
      <c r="F20" s="65">
        <f t="shared" si="0"/>
        <v>7.9034083436712512</v>
      </c>
      <c r="G20" s="33">
        <f t="shared" si="2"/>
        <v>0.2857713194194495</v>
      </c>
      <c r="H20" s="33">
        <f t="shared" si="1"/>
        <v>28.577131941944948</v>
      </c>
      <c r="I20" s="25">
        <v>29.8139</v>
      </c>
      <c r="J20" s="25">
        <f>I20/100*D20</f>
        <v>8.2454539698410105</v>
      </c>
    </row>
    <row r="21" spans="2:15" s="23" customFormat="1" x14ac:dyDescent="0.25">
      <c r="B21" s="134">
        <v>9</v>
      </c>
      <c r="C21" s="136"/>
      <c r="D21" s="46">
        <v>31.490091534874679</v>
      </c>
      <c r="E21" s="46">
        <v>17.512803313544076</v>
      </c>
      <c r="F21" s="65">
        <f t="shared" si="0"/>
        <v>9.1445052360387571</v>
      </c>
      <c r="G21" s="33">
        <f t="shared" si="2"/>
        <v>0.29039309796579638</v>
      </c>
      <c r="H21" s="33">
        <f t="shared" si="1"/>
        <v>29.039309796579637</v>
      </c>
      <c r="I21" s="25">
        <v>32.092219999999998</v>
      </c>
      <c r="J21" s="25">
        <f t="shared" ref="J21:J38" si="3">I21/100*D21</f>
        <v>10.105869453573359</v>
      </c>
    </row>
    <row r="22" spans="2:15" s="23" customFormat="1" x14ac:dyDescent="0.25">
      <c r="B22" s="162">
        <v>10</v>
      </c>
      <c r="C22" s="136"/>
      <c r="D22" s="46">
        <v>35.983608273747407</v>
      </c>
      <c r="E22" s="46">
        <v>18.133540510576253</v>
      </c>
      <c r="F22" s="65">
        <f t="shared" si="0"/>
        <v>10.572882744310172</v>
      </c>
      <c r="G22" s="33">
        <f t="shared" si="2"/>
        <v>0.29382497341223668</v>
      </c>
      <c r="H22" s="33">
        <f t="shared" si="1"/>
        <v>29.382497341223669</v>
      </c>
      <c r="I22" s="25">
        <v>32.562559999999998</v>
      </c>
      <c r="J22" s="25">
        <f t="shared" si="3"/>
        <v>11.717184034303962</v>
      </c>
    </row>
    <row r="23" spans="2:15" s="23" customFormat="1" x14ac:dyDescent="0.25">
      <c r="B23" s="97">
        <v>10.3</v>
      </c>
      <c r="C23" s="137"/>
      <c r="D23" s="82">
        <v>37.43</v>
      </c>
      <c r="E23" s="82">
        <v>18.25</v>
      </c>
      <c r="F23" s="80">
        <f t="shared" si="0"/>
        <v>11.007627003703702</v>
      </c>
      <c r="G23" s="83">
        <f t="shared" si="2"/>
        <v>0.29408568003483038</v>
      </c>
      <c r="H23" s="83">
        <f t="shared" si="1"/>
        <v>29.408568003483037</v>
      </c>
      <c r="I23" s="81"/>
      <c r="J23" s="81"/>
    </row>
    <row r="24" spans="2:15" s="23" customFormat="1" x14ac:dyDescent="0.25">
      <c r="B24" s="134">
        <v>11</v>
      </c>
      <c r="C24" s="136"/>
      <c r="D24" s="46">
        <v>40.920969268335227</v>
      </c>
      <c r="E24" s="46">
        <v>18.441331393062796</v>
      </c>
      <c r="F24" s="65">
        <f t="shared" si="0"/>
        <v>12.029432254869166</v>
      </c>
      <c r="G24" s="33">
        <f t="shared" si="2"/>
        <v>0.29396743210033338</v>
      </c>
      <c r="H24" s="33">
        <f t="shared" si="1"/>
        <v>29.396743210033339</v>
      </c>
      <c r="I24" s="25">
        <v>32.439700000000002</v>
      </c>
      <c r="J24" s="25">
        <f t="shared" si="3"/>
        <v>13.274639667740145</v>
      </c>
    </row>
    <row r="25" spans="2:15" s="23" customFormat="1" x14ac:dyDescent="0.25">
      <c r="B25" s="97">
        <v>12</v>
      </c>
      <c r="C25" s="137"/>
      <c r="D25" s="82">
        <v>45.921623136976415</v>
      </c>
      <c r="E25" s="82">
        <v>18.845495601365531</v>
      </c>
      <c r="F25" s="80">
        <f t="shared" si="0"/>
        <v>13.585376096861085</v>
      </c>
      <c r="G25" s="83">
        <f t="shared" si="2"/>
        <v>0.29583832558222545</v>
      </c>
      <c r="H25" s="83">
        <f t="shared" si="1"/>
        <v>29.583832558222547</v>
      </c>
      <c r="I25" s="81">
        <v>31.640899999999998</v>
      </c>
      <c r="J25" s="81">
        <f t="shared" si="3"/>
        <v>14.53001485514757</v>
      </c>
    </row>
    <row r="26" spans="2:15" s="23" customFormat="1" x14ac:dyDescent="0.25">
      <c r="B26" s="97">
        <v>13</v>
      </c>
      <c r="C26" s="137"/>
      <c r="D26" s="82">
        <v>50.562975543985615</v>
      </c>
      <c r="E26" s="82">
        <v>19.746996587002954</v>
      </c>
      <c r="F26" s="80">
        <f t="shared" si="0"/>
        <v>15.348906408306142</v>
      </c>
      <c r="G26" s="83">
        <f t="shared" si="2"/>
        <v>0.30356018891637143</v>
      </c>
      <c r="H26" s="83">
        <f t="shared" si="1"/>
        <v>30.356018891637142</v>
      </c>
      <c r="I26" s="81">
        <v>30.855129999999999</v>
      </c>
      <c r="J26" s="81">
        <f t="shared" si="3"/>
        <v>15.601271835964967</v>
      </c>
    </row>
    <row r="27" spans="2:15" s="23" customFormat="1" x14ac:dyDescent="0.25">
      <c r="B27" s="134">
        <v>14</v>
      </c>
      <c r="C27" s="136"/>
      <c r="D27" s="46">
        <v>54.528714320701638</v>
      </c>
      <c r="E27" s="46">
        <v>20.907139044314466</v>
      </c>
      <c r="F27" s="65">
        <f t="shared" si="0"/>
        <v>17.124620413679008</v>
      </c>
      <c r="G27" s="33">
        <f t="shared" si="2"/>
        <v>0.31404775680136848</v>
      </c>
      <c r="H27" s="33">
        <f t="shared" si="1"/>
        <v>31.404775680136847</v>
      </c>
      <c r="I27" s="25">
        <v>32.956980000000001</v>
      </c>
      <c r="J27" s="25">
        <f t="shared" si="3"/>
        <v>17.971017472930775</v>
      </c>
    </row>
    <row r="28" spans="2:15" s="23" customFormat="1" x14ac:dyDescent="0.25">
      <c r="B28" s="97">
        <v>15</v>
      </c>
      <c r="C28" s="137"/>
      <c r="D28" s="82">
        <v>57.686469728875608</v>
      </c>
      <c r="E28" s="82">
        <v>21.99133416782001</v>
      </c>
      <c r="F28" s="80">
        <f t="shared" si="0"/>
        <v>18.673971324319435</v>
      </c>
      <c r="G28" s="83">
        <f t="shared" si="2"/>
        <v>0.32371492677722258</v>
      </c>
      <c r="H28" s="83">
        <f t="shared" si="1"/>
        <v>32.371492677722259</v>
      </c>
      <c r="I28" s="81">
        <v>32.789589999999997</v>
      </c>
      <c r="J28" s="81">
        <f t="shared" si="3"/>
        <v>18.915156909572421</v>
      </c>
    </row>
    <row r="29" spans="2:15" s="23" customFormat="1" x14ac:dyDescent="0.25">
      <c r="B29" s="134">
        <v>16</v>
      </c>
      <c r="C29" s="136"/>
      <c r="D29" s="46">
        <v>60.067673083421695</v>
      </c>
      <c r="E29" s="46">
        <v>22.860913548507369</v>
      </c>
      <c r="F29" s="65">
        <f t="shared" si="0"/>
        <v>19.902994144070295</v>
      </c>
      <c r="G29" s="33">
        <f t="shared" si="2"/>
        <v>0.33134285252616846</v>
      </c>
      <c r="H29" s="33">
        <f t="shared" si="1"/>
        <v>33.134285252616849</v>
      </c>
      <c r="I29" s="25">
        <v>34.283659999999998</v>
      </c>
      <c r="J29" s="25">
        <f t="shared" si="3"/>
        <v>20.593396809831809</v>
      </c>
    </row>
    <row r="30" spans="2:15" s="23" customFormat="1" x14ac:dyDescent="0.25">
      <c r="B30" s="134">
        <v>17</v>
      </c>
      <c r="C30" s="136"/>
      <c r="D30" s="46">
        <v>61.796641842834646</v>
      </c>
      <c r="E30" s="46">
        <v>23.507785416540269</v>
      </c>
      <c r="F30" s="65">
        <f t="shared" si="0"/>
        <v>20.829952620333941</v>
      </c>
      <c r="G30" s="33">
        <f t="shared" si="2"/>
        <v>0.33707256574410743</v>
      </c>
      <c r="H30" s="33">
        <f t="shared" si="1"/>
        <v>33.707256574410742</v>
      </c>
      <c r="I30" s="25">
        <v>34.605870000000003</v>
      </c>
      <c r="J30" s="25">
        <f t="shared" si="3"/>
        <v>21.385265540496967</v>
      </c>
    </row>
    <row r="31" spans="2:15" s="23" customFormat="1" ht="30" x14ac:dyDescent="0.25">
      <c r="B31" s="134">
        <v>18</v>
      </c>
      <c r="C31" s="136"/>
      <c r="D31" s="46">
        <v>63.023877266443805</v>
      </c>
      <c r="E31" s="46">
        <v>23.971428229509264</v>
      </c>
      <c r="F31" s="65">
        <f t="shared" si="0"/>
        <v>21.519108842429361</v>
      </c>
      <c r="G31" s="33">
        <f t="shared" si="2"/>
        <v>0.34144374760463864</v>
      </c>
      <c r="H31" s="33">
        <f t="shared" si="1"/>
        <v>34.144374760463862</v>
      </c>
      <c r="I31" s="25">
        <v>35.539960000000001</v>
      </c>
      <c r="J31" s="25">
        <f t="shared" si="3"/>
        <v>22.39866077094322</v>
      </c>
      <c r="M31" s="123" t="s">
        <v>231</v>
      </c>
      <c r="N31" s="124"/>
      <c r="O31" s="125"/>
    </row>
    <row r="32" spans="2:15" s="23" customFormat="1" ht="15.75" customHeight="1" x14ac:dyDescent="0.25">
      <c r="B32" s="97">
        <v>19</v>
      </c>
      <c r="C32" s="137"/>
      <c r="D32" s="82">
        <v>63.886643380924738</v>
      </c>
      <c r="E32" s="82">
        <v>24.298672144290222</v>
      </c>
      <c r="F32" s="80">
        <f t="shared" si="0"/>
        <v>22.040064700680919</v>
      </c>
      <c r="G32" s="83">
        <f t="shared" si="2"/>
        <v>0.34498705103767646</v>
      </c>
      <c r="H32" s="83">
        <f t="shared" si="1"/>
        <v>34.498705103767648</v>
      </c>
      <c r="I32" s="81">
        <v>35.143120000000003</v>
      </c>
      <c r="J32" s="81">
        <f t="shared" si="3"/>
        <v>22.451759747330442</v>
      </c>
      <c r="M32" s="115" t="s">
        <v>15</v>
      </c>
      <c r="N32" s="116" t="s">
        <v>232</v>
      </c>
      <c r="O32" s="115" t="s">
        <v>233</v>
      </c>
    </row>
    <row r="33" spans="2:15" s="23" customFormat="1" x14ac:dyDescent="0.25">
      <c r="B33" s="97">
        <v>20</v>
      </c>
      <c r="C33" s="137"/>
      <c r="D33" s="82">
        <v>64.494109471333417</v>
      </c>
      <c r="E33" s="82">
        <v>24.529457046427595</v>
      </c>
      <c r="F33" s="80">
        <f t="shared" si="0"/>
        <v>22.450929791801286</v>
      </c>
      <c r="G33" s="83">
        <f t="shared" si="2"/>
        <v>0.34810822222113724</v>
      </c>
      <c r="H33" s="83">
        <f t="shared" si="1"/>
        <v>34.810822222113721</v>
      </c>
      <c r="I33" s="81">
        <v>35.404409999999999</v>
      </c>
      <c r="J33" s="81">
        <f t="shared" si="3"/>
        <v>22.833758943079715</v>
      </c>
      <c r="M33" s="115" t="s">
        <v>234</v>
      </c>
      <c r="N33" s="115">
        <v>930</v>
      </c>
      <c r="O33" s="115"/>
    </row>
    <row r="34" spans="2:15" s="23" customFormat="1" x14ac:dyDescent="0.25">
      <c r="B34" s="134">
        <v>21</v>
      </c>
      <c r="C34" s="136"/>
      <c r="D34" s="46">
        <v>64.926599748981431</v>
      </c>
      <c r="E34" s="46">
        <v>24.693875607274784</v>
      </c>
      <c r="F34" s="65">
        <f t="shared" si="0"/>
        <v>22.794670443180298</v>
      </c>
      <c r="G34" s="33">
        <f t="shared" si="2"/>
        <v>0.35108369345243434</v>
      </c>
      <c r="H34" s="33">
        <f t="shared" si="1"/>
        <v>35.108369345243432</v>
      </c>
      <c r="I34" s="25">
        <v>37.69746</v>
      </c>
      <c r="J34" s="25">
        <f t="shared" si="3"/>
        <v>24.475678969732375</v>
      </c>
      <c r="M34" s="115">
        <v>1</v>
      </c>
      <c r="N34" s="115">
        <v>3800</v>
      </c>
      <c r="O34" s="115">
        <f>3.52*1000</f>
        <v>3520</v>
      </c>
    </row>
    <row r="35" spans="2:15" s="23" customFormat="1" x14ac:dyDescent="0.25">
      <c r="B35" s="134">
        <v>22</v>
      </c>
      <c r="C35" s="136"/>
      <c r="D35" s="46">
        <v>65.325791591348548</v>
      </c>
      <c r="E35" s="46">
        <v>24.845681649869658</v>
      </c>
      <c r="F35" s="65">
        <f t="shared" si="0"/>
        <v>23.148656638266587</v>
      </c>
      <c r="G35" s="33">
        <f t="shared" si="2"/>
        <v>0.35435707818246004</v>
      </c>
      <c r="H35" s="33">
        <f t="shared" si="1"/>
        <v>35.435707818246001</v>
      </c>
      <c r="I35" s="25">
        <v>34.021729999999998</v>
      </c>
      <c r="J35" s="25">
        <f t="shared" si="3"/>
        <v>22.224964435571305</v>
      </c>
      <c r="M35" s="115">
        <v>5</v>
      </c>
      <c r="N35" s="115">
        <v>5500</v>
      </c>
      <c r="O35" s="115">
        <f>5.89*1000</f>
        <v>5890</v>
      </c>
    </row>
    <row r="36" spans="2:15" s="23" customFormat="1" x14ac:dyDescent="0.25">
      <c r="B36" s="134">
        <v>23</v>
      </c>
      <c r="C36" s="136"/>
      <c r="D36" s="46">
        <v>64.862678458374219</v>
      </c>
      <c r="E36" s="46">
        <v>24.669537769650528</v>
      </c>
      <c r="F36" s="65">
        <f t="shared" si="0"/>
        <v>23.047812743376241</v>
      </c>
      <c r="G36" s="33">
        <f t="shared" si="2"/>
        <v>0.35533242368594492</v>
      </c>
      <c r="H36" s="33">
        <f t="shared" si="1"/>
        <v>35.533242368594493</v>
      </c>
      <c r="I36" s="25">
        <v>39.830179999999999</v>
      </c>
      <c r="J36" s="25">
        <f t="shared" si="3"/>
        <v>25.834921582791676</v>
      </c>
      <c r="M36" s="115">
        <v>10</v>
      </c>
      <c r="N36" s="115">
        <v>8600</v>
      </c>
      <c r="O36" s="115">
        <f>10.57*1000</f>
        <v>10570</v>
      </c>
    </row>
    <row r="37" spans="2:15" s="23" customFormat="1" x14ac:dyDescent="0.25">
      <c r="B37" s="134">
        <v>24</v>
      </c>
      <c r="C37" s="136"/>
      <c r="D37" s="46">
        <v>65.515418464770889</v>
      </c>
      <c r="E37" s="46">
        <v>24.917795912237779</v>
      </c>
      <c r="F37" s="65">
        <f t="shared" si="0"/>
        <v>23.593978828643639</v>
      </c>
      <c r="G37" s="33">
        <f t="shared" si="2"/>
        <v>0.3601286442416704</v>
      </c>
      <c r="H37" s="33">
        <f t="shared" si="1"/>
        <v>36.012864424167041</v>
      </c>
      <c r="I37" s="25">
        <v>40.644829999999999</v>
      </c>
      <c r="J37" s="25">
        <f t="shared" si="3"/>
        <v>26.628630458794735</v>
      </c>
      <c r="M37" s="115">
        <v>15</v>
      </c>
      <c r="N37" s="115">
        <v>18700</v>
      </c>
      <c r="O37" s="115">
        <f>18.67*1000</f>
        <v>18670</v>
      </c>
    </row>
    <row r="38" spans="2:15" s="23" customFormat="1" x14ac:dyDescent="0.25">
      <c r="B38" s="97">
        <v>25</v>
      </c>
      <c r="C38" s="137"/>
      <c r="D38" s="82">
        <v>66.142514055682611</v>
      </c>
      <c r="E38" s="82">
        <v>25.156301746671314</v>
      </c>
      <c r="F38" s="80">
        <f t="shared" si="0"/>
        <v>24.150239799576294</v>
      </c>
      <c r="G38" s="83">
        <f t="shared" si="2"/>
        <v>0.36512430989915534</v>
      </c>
      <c r="H38" s="83">
        <f t="shared" si="1"/>
        <v>36.512430989915536</v>
      </c>
      <c r="I38" s="81">
        <v>36.968580000000003</v>
      </c>
      <c r="J38" s="81">
        <f t="shared" si="3"/>
        <v>24.451948222686273</v>
      </c>
      <c r="M38" s="115" t="s">
        <v>235</v>
      </c>
      <c r="N38" s="115">
        <v>22500</v>
      </c>
      <c r="O38" s="115">
        <f>24.15*1000</f>
        <v>24150</v>
      </c>
    </row>
    <row r="39" spans="2:15" ht="69" customHeight="1" x14ac:dyDescent="0.25">
      <c r="B39" s="134">
        <v>26</v>
      </c>
      <c r="C39" s="28" t="s">
        <v>77</v>
      </c>
      <c r="D39" s="139">
        <v>66.744027504995557</v>
      </c>
      <c r="E39" s="139">
        <v>25.385078129811678</v>
      </c>
      <c r="F39" s="139">
        <f t="shared" ref="F39:F73" si="4">D39 * (1.9224 * E39 - 0.018517 * (E39^2) + 0.05537 * B39 - 0.794894) * ($G$5 / $G$6) / 100</f>
        <v>24.553836927417613</v>
      </c>
      <c r="G39" s="140">
        <f>F39/D39</f>
        <v>0.36788066056666785</v>
      </c>
      <c r="H39" s="140">
        <f>G39*100</f>
        <v>36.788066056666786</v>
      </c>
      <c r="I39" s="141">
        <v>32.826729999999998</v>
      </c>
      <c r="J39" s="142">
        <f>I39/100*D39</f>
        <v>21.909881700190628</v>
      </c>
    </row>
    <row r="40" spans="2:15" x14ac:dyDescent="0.25">
      <c r="B40" s="134">
        <v>27</v>
      </c>
      <c r="C40" s="136"/>
      <c r="D40" s="46">
        <v>67.320021086595901</v>
      </c>
      <c r="E40" s="46">
        <v>25.604148511560872</v>
      </c>
      <c r="F40" s="46">
        <f t="shared" si="4"/>
        <v>24.943770494315718</v>
      </c>
      <c r="G40" s="33">
        <f t="shared" ref="G40:G73" si="5">F40/D40</f>
        <v>0.37052529235292048</v>
      </c>
      <c r="H40" s="33">
        <f t="shared" ref="H40:H73" si="6">G40*100</f>
        <v>37.052529235292049</v>
      </c>
      <c r="I40" s="4">
        <v>38.35568</v>
      </c>
      <c r="J40" s="4">
        <f t="shared" ref="J40:J73" si="7">I40/100*D40</f>
        <v>25.821051863907243</v>
      </c>
    </row>
    <row r="41" spans="2:15" x14ac:dyDescent="0.25">
      <c r="B41" s="134">
        <v>28</v>
      </c>
      <c r="C41" s="136"/>
      <c r="D41" s="46">
        <v>67.870557074369813</v>
      </c>
      <c r="E41" s="46">
        <v>25.813536510174288</v>
      </c>
      <c r="F41" s="46">
        <f t="shared" si="4"/>
        <v>25.319840642226225</v>
      </c>
      <c r="G41" s="33">
        <f t="shared" si="5"/>
        <v>0.37306074583241988</v>
      </c>
      <c r="H41" s="33">
        <f t="shared" si="6"/>
        <v>37.306074583241987</v>
      </c>
      <c r="I41" s="4">
        <v>43.311619999999998</v>
      </c>
      <c r="J41" s="4">
        <f t="shared" si="7"/>
        <v>29.395837771934168</v>
      </c>
    </row>
    <row r="42" spans="2:15" x14ac:dyDescent="0.25">
      <c r="B42" s="134">
        <v>29</v>
      </c>
      <c r="C42" s="136"/>
      <c r="D42" s="46">
        <v>68.395697742203453</v>
      </c>
      <c r="E42" s="46">
        <v>26.013265791675167</v>
      </c>
      <c r="F42" s="46">
        <f t="shared" si="4"/>
        <v>25.681863100863808</v>
      </c>
      <c r="G42" s="33">
        <f t="shared" si="5"/>
        <v>0.37548945253345745</v>
      </c>
      <c r="H42" s="33">
        <f t="shared" si="6"/>
        <v>37.548945253345742</v>
      </c>
      <c r="I42" s="4">
        <v>37.782969999999999</v>
      </c>
      <c r="J42" s="4">
        <f t="shared" si="7"/>
        <v>25.841925959227407</v>
      </c>
    </row>
    <row r="43" spans="2:15" x14ac:dyDescent="0.25">
      <c r="B43" s="134">
        <v>30</v>
      </c>
      <c r="C43" s="136"/>
      <c r="D43" s="46">
        <v>68.895505363983034</v>
      </c>
      <c r="E43" s="46">
        <v>26.20336003563353</v>
      </c>
      <c r="F43" s="46">
        <f t="shared" si="4"/>
        <v>26.02966823601836</v>
      </c>
      <c r="G43" s="33">
        <f t="shared" si="5"/>
        <v>0.37781373543165941</v>
      </c>
      <c r="H43" s="33">
        <f t="shared" si="6"/>
        <v>37.781373543165941</v>
      </c>
      <c r="I43" s="4">
        <v>38.997120000000002</v>
      </c>
      <c r="J43" s="4">
        <f t="shared" si="7"/>
        <v>26.867262901398902</v>
      </c>
    </row>
    <row r="44" spans="2:15" x14ac:dyDescent="0.25">
      <c r="B44" s="134">
        <v>31</v>
      </c>
      <c r="C44" s="136"/>
      <c r="D44" s="46">
        <v>69.370042213594715</v>
      </c>
      <c r="E44" s="46">
        <v>26.383842925459351</v>
      </c>
      <c r="F44" s="46">
        <f t="shared" si="4"/>
        <v>26.363100160507347</v>
      </c>
      <c r="G44" s="33">
        <f t="shared" si="5"/>
        <v>0.38003580968472972</v>
      </c>
      <c r="H44" s="33">
        <f t="shared" si="6"/>
        <v>38.003580968472974</v>
      </c>
      <c r="I44" s="4">
        <v>40.482700000000001</v>
      </c>
      <c r="J44" s="4">
        <f t="shared" si="7"/>
        <v>28.082866079202908</v>
      </c>
    </row>
    <row r="45" spans="2:15" x14ac:dyDescent="0.25">
      <c r="B45" s="134">
        <v>32</v>
      </c>
      <c r="C45" s="136"/>
      <c r="D45" s="46">
        <v>69.819370564924668</v>
      </c>
      <c r="E45" s="46">
        <v>26.554738145650532</v>
      </c>
      <c r="F45" s="46">
        <f t="shared" si="4"/>
        <v>26.68201589581523</v>
      </c>
      <c r="G45" s="33">
        <f t="shared" si="5"/>
        <v>0.38215778343352097</v>
      </c>
      <c r="H45" s="33">
        <f t="shared" si="6"/>
        <v>38.215778343352099</v>
      </c>
      <c r="I45" s="4">
        <v>39.209499999999998</v>
      </c>
      <c r="J45" s="4">
        <f t="shared" si="7"/>
        <v>27.375826101654134</v>
      </c>
    </row>
    <row r="46" spans="2:15" x14ac:dyDescent="0.25">
      <c r="B46" s="134">
        <v>33</v>
      </c>
      <c r="C46" s="136"/>
      <c r="D46" s="46">
        <v>70.243552691859051</v>
      </c>
      <c r="E46" s="46">
        <v>26.716069381013106</v>
      </c>
      <c r="F46" s="46">
        <f t="shared" si="4"/>
        <v>26.986284580539809</v>
      </c>
      <c r="G46" s="33">
        <f t="shared" si="5"/>
        <v>0.38418165862028519</v>
      </c>
      <c r="H46" s="33">
        <f t="shared" si="6"/>
        <v>38.418165862028516</v>
      </c>
      <c r="I46" s="4">
        <v>39.624139999999997</v>
      </c>
      <c r="J46" s="4">
        <f t="shared" si="7"/>
        <v>27.833403659595998</v>
      </c>
    </row>
    <row r="47" spans="2:15" x14ac:dyDescent="0.25">
      <c r="B47" s="134">
        <v>34</v>
      </c>
      <c r="C47" s="136"/>
      <c r="D47" s="46">
        <v>70.642650868284093</v>
      </c>
      <c r="E47" s="46">
        <v>26.867860316440332</v>
      </c>
      <c r="F47" s="46">
        <f t="shared" si="4"/>
        <v>27.275786724060232</v>
      </c>
      <c r="G47" s="33">
        <f t="shared" si="5"/>
        <v>0.38610933181028234</v>
      </c>
      <c r="H47" s="33">
        <f t="shared" si="6"/>
        <v>38.610933181028237</v>
      </c>
      <c r="I47" s="4">
        <v>38.714199999999998</v>
      </c>
      <c r="J47" s="4">
        <f t="shared" si="7"/>
        <v>27.348737142449238</v>
      </c>
    </row>
    <row r="48" spans="2:15" x14ac:dyDescent="0.25">
      <c r="B48" s="134">
        <v>35</v>
      </c>
      <c r="C48" s="136"/>
      <c r="D48" s="46">
        <v>71.016727368085924</v>
      </c>
      <c r="E48" s="46">
        <v>27.010134636850122</v>
      </c>
      <c r="F48" s="46">
        <f t="shared" si="4"/>
        <v>27.550413504496682</v>
      </c>
      <c r="G48" s="33">
        <f t="shared" si="5"/>
        <v>0.38794259501286893</v>
      </c>
      <c r="H48" s="33">
        <f t="shared" si="6"/>
        <v>38.794259501286895</v>
      </c>
      <c r="I48" s="4">
        <v>39.49877</v>
      </c>
      <c r="J48" s="4">
        <f t="shared" si="7"/>
        <v>28.050733804647312</v>
      </c>
    </row>
    <row r="49" spans="2:10" x14ac:dyDescent="0.25">
      <c r="B49" s="134">
        <v>36</v>
      </c>
      <c r="C49" s="136"/>
      <c r="D49" s="46">
        <v>71.365844465150758</v>
      </c>
      <c r="E49" s="46">
        <v>27.142916027167399</v>
      </c>
      <c r="F49" s="46">
        <f t="shared" si="4"/>
        <v>27.810066110220738</v>
      </c>
      <c r="G49" s="33">
        <f t="shared" si="5"/>
        <v>0.38968313650097564</v>
      </c>
      <c r="H49" s="33">
        <f t="shared" si="6"/>
        <v>38.968313650097564</v>
      </c>
      <c r="I49" s="4">
        <v>40.857080000000003</v>
      </c>
      <c r="J49" s="4">
        <f t="shared" si="7"/>
        <v>29.158000165802218</v>
      </c>
    </row>
    <row r="50" spans="2:10" x14ac:dyDescent="0.25">
      <c r="B50" s="134">
        <v>37</v>
      </c>
      <c r="C50" s="136"/>
      <c r="D50" s="46">
        <v>71.690064433364697</v>
      </c>
      <c r="E50" s="46">
        <v>27.266228172318989</v>
      </c>
      <c r="F50" s="46">
        <f t="shared" si="4"/>
        <v>28.054655124231434</v>
      </c>
      <c r="G50" s="33">
        <f t="shared" si="5"/>
        <v>0.39133254162866593</v>
      </c>
      <c r="H50" s="33">
        <f t="shared" si="6"/>
        <v>39.133254162866592</v>
      </c>
      <c r="I50" s="4">
        <v>40.86589</v>
      </c>
      <c r="J50" s="4">
        <f t="shared" si="7"/>
        <v>29.29678287226794</v>
      </c>
    </row>
    <row r="51" spans="2:10" x14ac:dyDescent="0.25">
      <c r="B51" s="134">
        <v>38</v>
      </c>
      <c r="C51" s="136"/>
      <c r="D51" s="46">
        <v>71.989449546614026</v>
      </c>
      <c r="E51" s="46">
        <v>27.380094757232396</v>
      </c>
      <c r="F51" s="46">
        <f t="shared" si="4"/>
        <v>28.284099950732102</v>
      </c>
      <c r="G51" s="33">
        <f t="shared" si="5"/>
        <v>0.39289229364669348</v>
      </c>
      <c r="H51" s="33">
        <f t="shared" si="6"/>
        <v>39.289229364669346</v>
      </c>
      <c r="I51" s="4">
        <v>38.62482</v>
      </c>
      <c r="J51" s="4">
        <f t="shared" si="7"/>
        <v>27.805795306370481</v>
      </c>
    </row>
    <row r="52" spans="2:10" x14ac:dyDescent="0.25">
      <c r="B52" s="134">
        <v>39</v>
      </c>
      <c r="C52" s="136"/>
      <c r="D52" s="46">
        <v>72.264062078784832</v>
      </c>
      <c r="E52" s="46">
        <v>27.484539466835162</v>
      </c>
      <c r="F52" s="46">
        <f t="shared" si="4"/>
        <v>28.498328283250093</v>
      </c>
      <c r="G52" s="33">
        <f t="shared" si="5"/>
        <v>0.39436377451602717</v>
      </c>
      <c r="H52" s="33">
        <f t="shared" si="6"/>
        <v>39.436377451602716</v>
      </c>
      <c r="I52" s="4">
        <v>39.144539999999999</v>
      </c>
      <c r="J52" s="4">
        <f t="shared" si="7"/>
        <v>28.287434686054759</v>
      </c>
    </row>
    <row r="53" spans="2:10" x14ac:dyDescent="0.25">
      <c r="B53" s="134">
        <v>40</v>
      </c>
      <c r="C53" s="136"/>
      <c r="D53" s="46">
        <v>72.513964303763331</v>
      </c>
      <c r="E53" s="46">
        <v>27.579585986054955</v>
      </c>
      <c r="F53" s="46">
        <f t="shared" si="4"/>
        <v>28.697275613648966</v>
      </c>
      <c r="G53" s="33">
        <f t="shared" si="5"/>
        <v>0.3957482657193469</v>
      </c>
      <c r="H53" s="33">
        <f t="shared" si="6"/>
        <v>39.574826571934693</v>
      </c>
      <c r="I53" s="4">
        <v>40.36956</v>
      </c>
      <c r="J53" s="4">
        <f t="shared" si="7"/>
        <v>29.273568327986318</v>
      </c>
    </row>
    <row r="54" spans="2:10" x14ac:dyDescent="0.25">
      <c r="B54" s="134">
        <v>41</v>
      </c>
      <c r="C54" s="136"/>
      <c r="D54" s="46">
        <v>72.739218495435694</v>
      </c>
      <c r="E54" s="46">
        <v>27.66525799981941</v>
      </c>
      <c r="F54" s="46">
        <f t="shared" si="4"/>
        <v>28.880884781385031</v>
      </c>
      <c r="G54" s="33">
        <f t="shared" si="5"/>
        <v>0.39704694907049731</v>
      </c>
      <c r="H54" s="33">
        <f t="shared" si="6"/>
        <v>39.704694907049728</v>
      </c>
      <c r="I54" s="4">
        <v>41.15457</v>
      </c>
      <c r="J54" s="4">
        <f t="shared" si="7"/>
        <v>29.935512593157032</v>
      </c>
    </row>
    <row r="55" spans="2:10" x14ac:dyDescent="0.25">
      <c r="B55" s="134">
        <v>42</v>
      </c>
      <c r="C55" s="136"/>
      <c r="D55" s="46">
        <v>72.939886927688079</v>
      </c>
      <c r="E55" s="46">
        <v>27.741579193056175</v>
      </c>
      <c r="F55" s="46">
        <f t="shared" si="4"/>
        <v>29.049105562366467</v>
      </c>
      <c r="G55" s="33">
        <f t="shared" si="5"/>
        <v>0.39826090752190879</v>
      </c>
      <c r="H55" s="33">
        <f t="shared" si="6"/>
        <v>39.826090752190879</v>
      </c>
      <c r="I55" s="4">
        <v>40.477989999999998</v>
      </c>
      <c r="J55" s="4">
        <f t="shared" si="7"/>
        <v>29.524600136600885</v>
      </c>
    </row>
    <row r="56" spans="2:10" x14ac:dyDescent="0.25">
      <c r="B56" s="134">
        <v>43</v>
      </c>
      <c r="C56" s="136"/>
      <c r="D56" s="46">
        <v>73.116031874406701</v>
      </c>
      <c r="E56" s="46">
        <v>27.808573250692923</v>
      </c>
      <c r="F56" s="46">
        <f t="shared" si="4"/>
        <v>29.201894296776135</v>
      </c>
      <c r="G56" s="33">
        <f t="shared" si="5"/>
        <v>0.39939112596997856</v>
      </c>
      <c r="H56" s="33">
        <f t="shared" si="6"/>
        <v>39.939112596997859</v>
      </c>
      <c r="I56" s="4">
        <v>41.418590000000002</v>
      </c>
      <c r="J56" s="4">
        <f t="shared" si="7"/>
        <v>30.283629466329828</v>
      </c>
    </row>
    <row r="57" spans="2:10" x14ac:dyDescent="0.25">
      <c r="B57" s="134">
        <v>44</v>
      </c>
      <c r="C57" s="136"/>
      <c r="D57" s="46">
        <v>73.26771560947769</v>
      </c>
      <c r="E57" s="46">
        <v>27.866263857657287</v>
      </c>
      <c r="F57" s="46">
        <f t="shared" si="4"/>
        <v>29.339213555224038</v>
      </c>
      <c r="G57" s="33">
        <f t="shared" si="5"/>
        <v>0.40043849205841497</v>
      </c>
      <c r="H57" s="33">
        <f t="shared" si="6"/>
        <v>40.043849205841497</v>
      </c>
      <c r="I57" s="4">
        <v>39.056959999999997</v>
      </c>
      <c r="J57" s="4">
        <f t="shared" si="7"/>
        <v>28.616142378507455</v>
      </c>
    </row>
    <row r="58" spans="2:10" x14ac:dyDescent="0.25">
      <c r="B58" s="134">
        <v>45</v>
      </c>
      <c r="C58" s="136"/>
      <c r="D58" s="46">
        <v>73.395000406787247</v>
      </c>
      <c r="E58" s="46">
        <v>27.914674698876933</v>
      </c>
      <c r="F58" s="46">
        <f t="shared" si="4"/>
        <v>29.461031842599596</v>
      </c>
      <c r="G58" s="33">
        <f t="shared" si="5"/>
        <v>0.40140379697954426</v>
      </c>
      <c r="H58" s="33">
        <f t="shared" si="6"/>
        <v>40.140379697954423</v>
      </c>
      <c r="I58" s="4">
        <v>41.49635</v>
      </c>
      <c r="J58" s="4">
        <f t="shared" si="7"/>
        <v>30.456246251301859</v>
      </c>
    </row>
    <row r="59" spans="2:10" x14ac:dyDescent="0.25">
      <c r="B59" s="134">
        <v>46</v>
      </c>
      <c r="C59" s="136"/>
      <c r="D59" s="46">
        <v>73.497948540221557</v>
      </c>
      <c r="E59" s="46">
        <v>27.953829459279515</v>
      </c>
      <c r="F59" s="46">
        <f t="shared" si="4"/>
        <v>29.567323338997884</v>
      </c>
      <c r="G59" s="33">
        <f t="shared" si="5"/>
        <v>0.40228773627358111</v>
      </c>
      <c r="H59" s="33">
        <f t="shared" si="6"/>
        <v>40.228773627358109</v>
      </c>
      <c r="I59" s="4">
        <v>43.82358</v>
      </c>
      <c r="J59" s="4">
        <f t="shared" si="7"/>
        <v>32.209432276882829</v>
      </c>
    </row>
    <row r="60" spans="2:10" x14ac:dyDescent="0.25">
      <c r="B60" s="134">
        <v>47</v>
      </c>
      <c r="C60" s="136"/>
      <c r="D60" s="46">
        <v>73.576622283666779</v>
      </c>
      <c r="E60" s="46">
        <v>27.983751823792687</v>
      </c>
      <c r="F60" s="46">
        <f t="shared" si="4"/>
        <v>29.65806767709817</v>
      </c>
      <c r="G60" s="33">
        <f t="shared" si="5"/>
        <v>0.40309091062585978</v>
      </c>
      <c r="H60" s="33">
        <f t="shared" si="6"/>
        <v>40.309091062585978</v>
      </c>
      <c r="I60" s="4">
        <v>43.26643</v>
      </c>
      <c r="J60" s="4">
        <f t="shared" si="7"/>
        <v>31.833977776727089</v>
      </c>
    </row>
    <row r="61" spans="2:10" x14ac:dyDescent="0.25">
      <c r="B61" s="134">
        <v>48</v>
      </c>
      <c r="C61" s="136"/>
      <c r="D61" s="46">
        <v>73.6310839110091</v>
      </c>
      <c r="E61" s="46">
        <v>28.004465477344105</v>
      </c>
      <c r="F61" s="46">
        <f t="shared" si="4"/>
        <v>29.733249755377621</v>
      </c>
      <c r="G61" s="33">
        <f t="shared" si="5"/>
        <v>0.40381382666203008</v>
      </c>
      <c r="H61" s="33">
        <f t="shared" si="6"/>
        <v>40.38138266620301</v>
      </c>
      <c r="I61" s="4">
        <v>41.606229999999996</v>
      </c>
      <c r="J61" s="4">
        <f t="shared" si="7"/>
        <v>30.635118123507436</v>
      </c>
    </row>
    <row r="62" spans="2:10" x14ac:dyDescent="0.25">
      <c r="B62" s="97">
        <v>49</v>
      </c>
      <c r="C62" s="137"/>
      <c r="D62" s="82">
        <v>73.66139569613469</v>
      </c>
      <c r="E62" s="82">
        <v>28.01599410486142</v>
      </c>
      <c r="F62" s="82">
        <f t="shared" si="4"/>
        <v>29.792859586546619</v>
      </c>
      <c r="G62" s="83">
        <f t="shared" si="5"/>
        <v>0.40445689774121357</v>
      </c>
      <c r="H62" s="83">
        <f t="shared" si="6"/>
        <v>40.445689774121355</v>
      </c>
      <c r="I62" s="4">
        <v>42.264319999999998</v>
      </c>
      <c r="J62" s="4">
        <f t="shared" si="7"/>
        <v>31.132487993480591</v>
      </c>
    </row>
    <row r="63" spans="2:10" x14ac:dyDescent="0.25">
      <c r="B63" s="97">
        <v>50</v>
      </c>
      <c r="C63" s="137"/>
      <c r="D63" s="82">
        <v>73.667619912929737</v>
      </c>
      <c r="E63" s="82">
        <v>28.018361391272293</v>
      </c>
      <c r="F63" s="82">
        <f t="shared" si="4"/>
        <v>29.836892180596941</v>
      </c>
      <c r="G63" s="83">
        <f t="shared" si="5"/>
        <v>0.40502044474712467</v>
      </c>
      <c r="H63" s="83">
        <f t="shared" si="6"/>
        <v>40.50204447471247</v>
      </c>
      <c r="I63" s="4">
        <v>42.413029999999999</v>
      </c>
      <c r="J63" s="4">
        <f t="shared" si="7"/>
        <v>31.244669733956865</v>
      </c>
    </row>
    <row r="64" spans="2:10" x14ac:dyDescent="0.25">
      <c r="B64" s="134">
        <v>51</v>
      </c>
      <c r="C64" s="136"/>
      <c r="D64" s="46">
        <v>73.649818835280385</v>
      </c>
      <c r="E64" s="46">
        <v>28.011591021504369</v>
      </c>
      <c r="F64" s="46">
        <f t="shared" si="4"/>
        <v>29.865347461857606</v>
      </c>
      <c r="G64" s="33">
        <f t="shared" si="5"/>
        <v>0.40550469687715301</v>
      </c>
      <c r="H64" s="33">
        <f t="shared" si="6"/>
        <v>40.550469687715299</v>
      </c>
      <c r="I64" s="4">
        <v>42.445520000000002</v>
      </c>
      <c r="J64" s="4">
        <f t="shared" si="7"/>
        <v>31.261048583692705</v>
      </c>
    </row>
    <row r="65" spans="2:10" x14ac:dyDescent="0.25">
      <c r="B65" s="134">
        <v>52</v>
      </c>
      <c r="C65" s="136"/>
      <c r="D65" s="46">
        <v>73.608054737072848</v>
      </c>
      <c r="E65" s="46">
        <v>27.995706680485309</v>
      </c>
      <c r="F65" s="46">
        <f t="shared" si="4"/>
        <v>29.878230219457762</v>
      </c>
      <c r="G65" s="33">
        <f t="shared" si="5"/>
        <v>0.40590979242940828</v>
      </c>
      <c r="H65" s="33">
        <f t="shared" si="6"/>
        <v>40.590979242940826</v>
      </c>
      <c r="I65" s="4">
        <v>42.270159999999997</v>
      </c>
      <c r="J65" s="4">
        <f t="shared" si="7"/>
        <v>31.114242510248268</v>
      </c>
    </row>
    <row r="66" spans="2:10" x14ac:dyDescent="0.25">
      <c r="B66" s="134">
        <v>53</v>
      </c>
      <c r="C66" s="136"/>
      <c r="D66" s="46">
        <v>73.542389892193299</v>
      </c>
      <c r="E66" s="46">
        <v>27.970732053142772</v>
      </c>
      <c r="F66" s="46">
        <f t="shared" si="4"/>
        <v>29.875550090599841</v>
      </c>
      <c r="G66" s="33">
        <f t="shared" si="5"/>
        <v>0.40623577958772866</v>
      </c>
      <c r="H66" s="33">
        <f t="shared" si="6"/>
        <v>40.623577958772863</v>
      </c>
      <c r="I66" s="4">
        <v>41.859920000000002</v>
      </c>
      <c r="J66" s="4">
        <f t="shared" si="7"/>
        <v>30.7847855749602</v>
      </c>
    </row>
    <row r="67" spans="2:10" x14ac:dyDescent="0.25">
      <c r="B67" s="134">
        <v>54</v>
      </c>
      <c r="C67" s="136"/>
      <c r="D67" s="46">
        <v>73.452886574527895</v>
      </c>
      <c r="E67" s="46">
        <v>27.936690824404405</v>
      </c>
      <c r="F67" s="46">
        <f t="shared" si="4"/>
        <v>29.857321576050477</v>
      </c>
      <c r="G67" s="33">
        <f t="shared" si="5"/>
        <v>0.40648261720465106</v>
      </c>
      <c r="H67" s="33">
        <f t="shared" si="6"/>
        <v>40.648261720465108</v>
      </c>
      <c r="I67" s="4">
        <v>42.618540000000003</v>
      </c>
      <c r="J67" s="4">
        <f t="shared" si="7"/>
        <v>31.304547845919803</v>
      </c>
    </row>
    <row r="68" spans="2:10" x14ac:dyDescent="0.25">
      <c r="B68" s="134">
        <v>55</v>
      </c>
      <c r="C68" s="136"/>
      <c r="D68" s="46">
        <v>73.339607057962809</v>
      </c>
      <c r="E68" s="46">
        <v>27.893606679197863</v>
      </c>
      <c r="F68" s="46">
        <f t="shared" si="4"/>
        <v>29.823564087260724</v>
      </c>
      <c r="G68" s="33">
        <f t="shared" si="5"/>
        <v>0.40665017558234445</v>
      </c>
      <c r="H68" s="33">
        <f t="shared" si="6"/>
        <v>40.665017558234446</v>
      </c>
      <c r="I68" s="4">
        <v>43.872889999999998</v>
      </c>
      <c r="J68" s="4">
        <f t="shared" si="7"/>
        <v>32.176205130972257</v>
      </c>
    </row>
    <row r="69" spans="2:10" x14ac:dyDescent="0.25">
      <c r="B69" s="134">
        <v>56</v>
      </c>
      <c r="C69" s="136"/>
      <c r="D69" s="46">
        <v>73.202613616384227</v>
      </c>
      <c r="E69" s="46">
        <v>27.841503302450796</v>
      </c>
      <c r="F69" s="46">
        <f t="shared" si="4"/>
        <v>29.774302024531153</v>
      </c>
      <c r="G69" s="33">
        <f t="shared" si="5"/>
        <v>0.40673823725150521</v>
      </c>
      <c r="H69" s="33">
        <f t="shared" si="6"/>
        <v>40.67382372515052</v>
      </c>
      <c r="I69" s="4">
        <v>42.027749999999997</v>
      </c>
      <c r="J69" s="4">
        <f t="shared" si="7"/>
        <v>30.76541144415992</v>
      </c>
    </row>
    <row r="70" spans="2:10" x14ac:dyDescent="0.25">
      <c r="B70" s="134">
        <v>57</v>
      </c>
      <c r="C70" s="136"/>
      <c r="D70" s="46">
        <v>73.041968523678321</v>
      </c>
      <c r="E70" s="46">
        <v>27.780404379090868</v>
      </c>
      <c r="F70" s="46">
        <f t="shared" si="4"/>
        <v>29.709564885641576</v>
      </c>
      <c r="G70" s="33">
        <f t="shared" si="5"/>
        <v>0.40674649774821586</v>
      </c>
      <c r="H70" s="33">
        <f t="shared" si="6"/>
        <v>40.674649774821589</v>
      </c>
      <c r="I70" s="4">
        <v>43.418199999999999</v>
      </c>
      <c r="J70" s="4">
        <f t="shared" si="7"/>
        <v>31.713507977547703</v>
      </c>
    </row>
    <row r="71" spans="2:10" x14ac:dyDescent="0.25">
      <c r="B71" s="134">
        <v>58</v>
      </c>
      <c r="C71" s="136"/>
      <c r="D71" s="46">
        <v>72.857734053731278</v>
      </c>
      <c r="E71" s="46">
        <v>27.710333594045732</v>
      </c>
      <c r="F71" s="46">
        <f t="shared" si="4"/>
        <v>29.629387404369151</v>
      </c>
      <c r="G71" s="33">
        <f t="shared" si="5"/>
        <v>0.40667456638876537</v>
      </c>
      <c r="H71" s="33">
        <f t="shared" si="6"/>
        <v>40.667456638876537</v>
      </c>
      <c r="I71" s="4">
        <v>44.618679999999998</v>
      </c>
      <c r="J71" s="4">
        <f t="shared" si="7"/>
        <v>32.508159212685385</v>
      </c>
    </row>
    <row r="72" spans="2:10" x14ac:dyDescent="0.25">
      <c r="B72" s="97">
        <v>59</v>
      </c>
      <c r="C72" s="137"/>
      <c r="D72" s="82">
        <v>72.64997248042927</v>
      </c>
      <c r="E72" s="82">
        <v>27.63131463224304</v>
      </c>
      <c r="F72" s="82">
        <f t="shared" si="4"/>
        <v>29.533809718322768</v>
      </c>
      <c r="G72" s="83">
        <f t="shared" si="5"/>
        <v>0.40652196704243349</v>
      </c>
      <c r="H72" s="83">
        <f t="shared" si="6"/>
        <v>40.652196704243352</v>
      </c>
      <c r="I72" s="4">
        <v>46.183570000000003</v>
      </c>
      <c r="J72" s="4">
        <f t="shared" si="7"/>
        <v>33.55235089547979</v>
      </c>
    </row>
    <row r="73" spans="2:10" s="23" customFormat="1" x14ac:dyDescent="0.25">
      <c r="B73" s="97">
        <v>60</v>
      </c>
      <c r="C73" s="137"/>
      <c r="D73" s="82">
        <v>72.418746077658469</v>
      </c>
      <c r="E73" s="82">
        <v>27.543371178610446</v>
      </c>
      <c r="F73" s="82">
        <f t="shared" si="4"/>
        <v>29.422877565525511</v>
      </c>
      <c r="G73" s="83">
        <f t="shared" si="5"/>
        <v>0.40628813890223664</v>
      </c>
      <c r="H73" s="83">
        <f t="shared" si="6"/>
        <v>40.628813890223661</v>
      </c>
      <c r="I73" s="4">
        <v>42.829740000000001</v>
      </c>
      <c r="J73" s="4">
        <f t="shared" si="7"/>
        <v>31.016760656321321</v>
      </c>
    </row>
    <row r="74" spans="2:10" s="2" customFormat="1" x14ac:dyDescent="0.25">
      <c r="B74" s="162">
        <v>99</v>
      </c>
      <c r="C74" s="136"/>
      <c r="D74" s="46">
        <v>72.418746077658469</v>
      </c>
      <c r="E74" s="46">
        <v>27.543371178610446</v>
      </c>
      <c r="F74" s="46">
        <f t="shared" ref="F74" si="8">D74 * (1.9224 * E74 - 0.018517 * (E74^2) + 0.05537 * B74 - 0.794894) * ($G$5 / $G$6) / 100</f>
        <v>30.956504993626613</v>
      </c>
      <c r="G74" s="33">
        <f t="shared" ref="G74" si="9">F74/D74</f>
        <v>0.42746535490175858</v>
      </c>
      <c r="H74" s="33">
        <f t="shared" ref="H74" si="10">G74*100</f>
        <v>42.746535490175859</v>
      </c>
      <c r="I74" s="4">
        <v>43.829740000000001</v>
      </c>
      <c r="J74" s="4">
        <f t="shared" ref="J74" si="11">I74/100*D74</f>
        <v>31.740948117097904</v>
      </c>
    </row>
    <row r="75" spans="2:10" s="2" customFormat="1" x14ac:dyDescent="0.25"/>
    <row r="76" spans="2:10" s="2" customFormat="1" x14ac:dyDescent="0.25"/>
    <row r="77" spans="2:10" s="2" customFormat="1" x14ac:dyDescent="0.25"/>
    <row r="78" spans="2:10" s="2" customFormat="1" x14ac:dyDescent="0.25"/>
    <row r="79" spans="2:10" s="2" customFormat="1" x14ac:dyDescent="0.25"/>
    <row r="80" spans="2:10" s="2" customFormat="1" x14ac:dyDescent="0.25"/>
    <row r="81" s="2" customFormat="1" x14ac:dyDescent="0.25"/>
    <row r="82" s="2" customFormat="1" x14ac:dyDescent="0.25"/>
    <row r="83" s="2" customFormat="1" x14ac:dyDescent="0.25"/>
    <row r="84" s="2" customFormat="1" x14ac:dyDescent="0.25"/>
    <row r="85" s="2" customFormat="1" x14ac:dyDescent="0.25"/>
    <row r="86" s="2" customFormat="1" x14ac:dyDescent="0.25"/>
    <row r="87" s="2" customFormat="1" x14ac:dyDescent="0.25"/>
    <row r="88" s="2" customFormat="1" x14ac:dyDescent="0.25"/>
    <row r="89" s="2" customFormat="1" x14ac:dyDescent="0.25"/>
    <row r="90" s="2" customFormat="1" x14ac:dyDescent="0.25"/>
    <row r="91" s="2" customFormat="1" x14ac:dyDescent="0.25"/>
    <row r="92" s="2" customFormat="1" x14ac:dyDescent="0.25"/>
    <row r="93" s="2" customFormat="1" x14ac:dyDescent="0.25"/>
    <row r="94" s="2" customFormat="1" x14ac:dyDescent="0.25"/>
    <row r="95" s="2" customFormat="1" x14ac:dyDescent="0.25"/>
    <row r="96" s="2" customFormat="1" x14ac:dyDescent="0.25"/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</sheetData>
  <mergeCells count="1">
    <mergeCell ref="B3:D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095326BAEF13489E46B5D57A1537E0" ma:contentTypeVersion="4" ma:contentTypeDescription="Create a new document." ma:contentTypeScope="" ma:versionID="9e87f5674416f06a8e29a5b39a47cb34">
  <xsd:schema xmlns:xsd="http://www.w3.org/2001/XMLSchema" xmlns:xs="http://www.w3.org/2001/XMLSchema" xmlns:p="http://schemas.microsoft.com/office/2006/metadata/properties" xmlns:ns2="c4715ecd-bd88-4d1d-a8be-982733e2a50d" targetNamespace="http://schemas.microsoft.com/office/2006/metadata/properties" ma:root="true" ma:fieldsID="e74187b9cd11a0285704c74ffc37fbe5" ns2:_="">
    <xsd:import namespace="c4715ecd-bd88-4d1d-a8be-982733e2a50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15ecd-bd88-4d1d-a8be-982733e2a50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F8573-FB2F-4F48-97F5-423C504F36B7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c4715ecd-bd88-4d1d-a8be-982733e2a50d"/>
  </ds:schemaRefs>
</ds:datastoreItem>
</file>

<file path=customXml/itemProps2.xml><?xml version="1.0" encoding="utf-8"?>
<ds:datastoreItem xmlns:ds="http://schemas.openxmlformats.org/officeDocument/2006/customXml" ds:itemID="{8406D7F7-9D87-4456-970E-CED420D63E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2795B3-4E88-49D5-A59D-855AA65642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715ecd-bd88-4d1d-a8be-982733e2a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1</vt:i4>
      </vt:variant>
    </vt:vector>
  </HeadingPairs>
  <TitlesOfParts>
    <vt:vector size="29" baseType="lpstr">
      <vt:lpstr>BW</vt:lpstr>
      <vt:lpstr>BH</vt:lpstr>
      <vt:lpstr>BSA</vt:lpstr>
      <vt:lpstr>BMI </vt:lpstr>
      <vt:lpstr>HCT</vt:lpstr>
      <vt:lpstr>Pulmonary parameters (Female)</vt:lpstr>
      <vt:lpstr>Drinking Water</vt:lpstr>
      <vt:lpstr>Brain Vol</vt:lpstr>
      <vt:lpstr>Fat Vol</vt:lpstr>
      <vt:lpstr>Liver Vol</vt:lpstr>
      <vt:lpstr>Gut vol</vt:lpstr>
      <vt:lpstr>Rap perf tissue Vol</vt:lpstr>
      <vt:lpstr>Plasma Vol</vt:lpstr>
      <vt:lpstr>QC</vt:lpstr>
      <vt:lpstr>Brain flow</vt:lpstr>
      <vt:lpstr>Fat flow</vt:lpstr>
      <vt:lpstr>GUT flow </vt:lpstr>
      <vt:lpstr>Rap perf tissues flow</vt:lpstr>
      <vt:lpstr>Liver flow</vt:lpstr>
      <vt:lpstr>Mean liver weight</vt:lpstr>
      <vt:lpstr>MPPGL</vt:lpstr>
      <vt:lpstr>CYP1A2</vt:lpstr>
      <vt:lpstr>CYP2B6</vt:lpstr>
      <vt:lpstr>CYP2C9</vt:lpstr>
      <vt:lpstr>CYP2C19</vt:lpstr>
      <vt:lpstr>CYP2E1</vt:lpstr>
      <vt:lpstr>UGT1A9</vt:lpstr>
      <vt:lpstr>CL ontogeny-Female</vt:lpstr>
      <vt:lpstr>'Brain Vol'!Print_Area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Pankajini Mallick</dc:creator>
  <cp:lastModifiedBy>Pankajini Mallick</cp:lastModifiedBy>
  <cp:lastPrinted>2017-01-19T15:34:14Z</cp:lastPrinted>
  <dcterms:created xsi:type="dcterms:W3CDTF">2016-10-17T13:29:27Z</dcterms:created>
  <dcterms:modified xsi:type="dcterms:W3CDTF">2017-05-19T16:44:51Z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0x010100B3095326BAEF13489E46B5D57A1537E0</vt:lpwstr>
  </property>
</Properties>
</file>